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Pyramid\Presentation 2015\"/>
    </mc:Choice>
  </mc:AlternateContent>
  <xr:revisionPtr revIDLastSave="0" documentId="13_ncr:1_{A11B589F-EBAE-4082-B411-8C904CEB466F}" xr6:coauthVersionLast="47" xr6:coauthVersionMax="47" xr10:uidLastSave="{00000000-0000-0000-0000-000000000000}"/>
  <bookViews>
    <workbookView xWindow="-80" yWindow="0" windowWidth="12960" windowHeight="13760" tabRatio="598" firstSheet="3" activeTab="3" xr2:uid="{7C2A3207-0A63-47A6-87AD-29BBFE8DFD5E}"/>
  </bookViews>
  <sheets>
    <sheet name="Petrie &amp; Dash Plateau Survey" sheetId="1" r:id="rId1"/>
    <sheet name="Plateau Coords" sheetId="2" r:id="rId2"/>
    <sheet name="Dash GP Base Regression" sheetId="4" r:id="rId3"/>
    <sheet name="Rev Eng Equations Int" sheetId="6" r:id="rId4"/>
  </sheets>
  <definedNames>
    <definedName name="_ftn1" localSheetId="2">'Dash GP Base Regression'!#REF!</definedName>
    <definedName name="_ftnref1" localSheetId="2">'Dash GP Base Regression'!#REF!</definedName>
    <definedName name="solver_adj" localSheetId="2" hidden="1">'Dash GP Base Regression'!$S$23</definedName>
    <definedName name="solver_adj" localSheetId="0" hidden="1">'Petrie &amp; Dash Plateau Survey'!$V$16</definedName>
    <definedName name="solver_adj" localSheetId="1" hidden="1">'Plateau Coords'!$S$80,'Plateau Coords'!$S$83</definedName>
    <definedName name="solver_adj" localSheetId="3" hidden="1">'Rev Eng Equations Int'!$D$47</definedName>
    <definedName name="solver_cvg" localSheetId="2" hidden="1">0.0001</definedName>
    <definedName name="solver_cvg" localSheetId="0" hidden="1">0.0001</definedName>
    <definedName name="solver_cvg" localSheetId="1" hidden="1">0.0001</definedName>
    <definedName name="solver_cvg" localSheetId="3" hidden="1">0.0001</definedName>
    <definedName name="solver_drv" localSheetId="2" hidden="1">1</definedName>
    <definedName name="solver_drv" localSheetId="0" hidden="1">1</definedName>
    <definedName name="solver_drv" localSheetId="1" hidden="1">1</definedName>
    <definedName name="solver_drv" localSheetId="3" hidden="1">1</definedName>
    <definedName name="solver_eng" localSheetId="2" hidden="1">1</definedName>
    <definedName name="solver_eng" localSheetId="0" hidden="1">1</definedName>
    <definedName name="solver_eng" localSheetId="1" hidden="1">1</definedName>
    <definedName name="solver_eng" localSheetId="3" hidden="1">1</definedName>
    <definedName name="solver_est" localSheetId="2" hidden="1">1</definedName>
    <definedName name="solver_est" localSheetId="0" hidden="1">1</definedName>
    <definedName name="solver_est" localSheetId="1" hidden="1">1</definedName>
    <definedName name="solver_est" localSheetId="3" hidden="1">1</definedName>
    <definedName name="solver_itr" localSheetId="2" hidden="1">2147483647</definedName>
    <definedName name="solver_itr" localSheetId="0" hidden="1">2147483647</definedName>
    <definedName name="solver_itr" localSheetId="1" hidden="1">2147483647</definedName>
    <definedName name="solver_itr" localSheetId="3" hidden="1">2147483647</definedName>
    <definedName name="solver_lhs1" localSheetId="1" hidden="1">'Plateau Coords'!$R$75</definedName>
    <definedName name="solver_lhs2" localSheetId="1" hidden="1">'Plateau Coords'!$R$75</definedName>
    <definedName name="solver_lhs3" localSheetId="1" hidden="1">'Plateau Coords'!$R$76</definedName>
    <definedName name="solver_lhs4" localSheetId="1" hidden="1">'Plateau Coords'!$R$76</definedName>
    <definedName name="solver_mip" localSheetId="2" hidden="1">2147483647</definedName>
    <definedName name="solver_mip" localSheetId="0" hidden="1">2147483647</definedName>
    <definedName name="solver_mip" localSheetId="1" hidden="1">2147483647</definedName>
    <definedName name="solver_mip" localSheetId="3" hidden="1">2147483647</definedName>
    <definedName name="solver_mni" localSheetId="2" hidden="1">30</definedName>
    <definedName name="solver_mni" localSheetId="0" hidden="1">30</definedName>
    <definedName name="solver_mni" localSheetId="1" hidden="1">30</definedName>
    <definedName name="solver_mni" localSheetId="3" hidden="1">30</definedName>
    <definedName name="solver_mrt" localSheetId="2" hidden="1">0.075</definedName>
    <definedName name="solver_mrt" localSheetId="0" hidden="1">0.075</definedName>
    <definedName name="solver_mrt" localSheetId="1" hidden="1">0.075</definedName>
    <definedName name="solver_mrt" localSheetId="3" hidden="1">0.075</definedName>
    <definedName name="solver_msl" localSheetId="2" hidden="1">2</definedName>
    <definedName name="solver_msl" localSheetId="0" hidden="1">2</definedName>
    <definedName name="solver_msl" localSheetId="1" hidden="1">2</definedName>
    <definedName name="solver_msl" localSheetId="3" hidden="1">2</definedName>
    <definedName name="solver_neg" localSheetId="2" hidden="1">1</definedName>
    <definedName name="solver_neg" localSheetId="0" hidden="1">1</definedName>
    <definedName name="solver_neg" localSheetId="1" hidden="1">2</definedName>
    <definedName name="solver_neg" localSheetId="3" hidden="1">1</definedName>
    <definedName name="solver_nod" localSheetId="2" hidden="1">2147483647</definedName>
    <definedName name="solver_nod" localSheetId="0" hidden="1">2147483647</definedName>
    <definedName name="solver_nod" localSheetId="1" hidden="1">2147483647</definedName>
    <definedName name="solver_nod" localSheetId="3" hidden="1">2147483647</definedName>
    <definedName name="solver_num" localSheetId="2" hidden="1">0</definedName>
    <definedName name="solver_num" localSheetId="0" hidden="1">0</definedName>
    <definedName name="solver_num" localSheetId="1" hidden="1">2</definedName>
    <definedName name="solver_num" localSheetId="3" hidden="1">0</definedName>
    <definedName name="solver_nwt" localSheetId="2" hidden="1">1</definedName>
    <definedName name="solver_nwt" localSheetId="0" hidden="1">1</definedName>
    <definedName name="solver_nwt" localSheetId="1" hidden="1">1</definedName>
    <definedName name="solver_nwt" localSheetId="3" hidden="1">1</definedName>
    <definedName name="solver_opt" localSheetId="2" hidden="1">'Dash GP Base Regression'!$S$24</definedName>
    <definedName name="solver_opt" localSheetId="0" hidden="1">'Petrie &amp; Dash Plateau Survey'!$T$16</definedName>
    <definedName name="solver_opt" localSheetId="1" hidden="1">'Plateau Coords'!$R$87</definedName>
    <definedName name="solver_opt" localSheetId="3" hidden="1">'Rev Eng Equations Int'!$G$69</definedName>
    <definedName name="solver_pre" localSheetId="2" hidden="1">0.000001</definedName>
    <definedName name="solver_pre" localSheetId="0" hidden="1">0.000001</definedName>
    <definedName name="solver_pre" localSheetId="1" hidden="1">0.000001</definedName>
    <definedName name="solver_pre" localSheetId="3" hidden="1">0.000001</definedName>
    <definedName name="solver_rbv" localSheetId="2" hidden="1">1</definedName>
    <definedName name="solver_rbv" localSheetId="0" hidden="1">1</definedName>
    <definedName name="solver_rbv" localSheetId="1" hidden="1">1</definedName>
    <definedName name="solver_rbv" localSheetId="3" hidden="1">1</definedName>
    <definedName name="solver_rel1" localSheetId="1" hidden="1">1</definedName>
    <definedName name="solver_rel2" localSheetId="1" hidden="1">3</definedName>
    <definedName name="solver_rel3" localSheetId="1" hidden="1">3</definedName>
    <definedName name="solver_rel4" localSheetId="1" hidden="1">3</definedName>
    <definedName name="solver_rhs1" localSheetId="1" hidden="1">0.75</definedName>
    <definedName name="solver_rhs2" localSheetId="1" hidden="1">0.75</definedName>
    <definedName name="solver_rhs3" localSheetId="1" hidden="1">-3</definedName>
    <definedName name="solver_rhs4" localSheetId="1" hidden="1">-3</definedName>
    <definedName name="solver_rlx" localSheetId="2" hidden="1">2</definedName>
    <definedName name="solver_rlx" localSheetId="0" hidden="1">2</definedName>
    <definedName name="solver_rlx" localSheetId="1" hidden="1">2</definedName>
    <definedName name="solver_rlx" localSheetId="3" hidden="1">2</definedName>
    <definedName name="solver_rsd" localSheetId="2" hidden="1">0</definedName>
    <definedName name="solver_rsd" localSheetId="0" hidden="1">0</definedName>
    <definedName name="solver_rsd" localSheetId="1" hidden="1">0</definedName>
    <definedName name="solver_rsd" localSheetId="3" hidden="1">0</definedName>
    <definedName name="solver_scl" localSheetId="2" hidden="1">1</definedName>
    <definedName name="solver_scl" localSheetId="0" hidden="1">1</definedName>
    <definedName name="solver_scl" localSheetId="1" hidden="1">1</definedName>
    <definedName name="solver_scl" localSheetId="3" hidden="1">1</definedName>
    <definedName name="solver_sho" localSheetId="2" hidden="1">2</definedName>
    <definedName name="solver_sho" localSheetId="0" hidden="1">2</definedName>
    <definedName name="solver_sho" localSheetId="1" hidden="1">2</definedName>
    <definedName name="solver_sho" localSheetId="3" hidden="1">2</definedName>
    <definedName name="solver_ssz" localSheetId="2" hidden="1">100</definedName>
    <definedName name="solver_ssz" localSheetId="0" hidden="1">100</definedName>
    <definedName name="solver_ssz" localSheetId="1" hidden="1">100</definedName>
    <definedName name="solver_ssz" localSheetId="3" hidden="1">100</definedName>
    <definedName name="solver_tim" localSheetId="2" hidden="1">2147483647</definedName>
    <definedName name="solver_tim" localSheetId="0" hidden="1">2147483647</definedName>
    <definedName name="solver_tim" localSheetId="1" hidden="1">2147483647</definedName>
    <definedName name="solver_tim" localSheetId="3" hidden="1">2147483647</definedName>
    <definedName name="solver_tol" localSheetId="2" hidden="1">0.01</definedName>
    <definedName name="solver_tol" localSheetId="0" hidden="1">0.01</definedName>
    <definedName name="solver_tol" localSheetId="1" hidden="1">0.01</definedName>
    <definedName name="solver_tol" localSheetId="3" hidden="1">0.01</definedName>
    <definedName name="solver_typ" localSheetId="2" hidden="1">2</definedName>
    <definedName name="solver_typ" localSheetId="0" hidden="1">1</definedName>
    <definedName name="solver_typ" localSheetId="1" hidden="1">2</definedName>
    <definedName name="solver_typ" localSheetId="3" hidden="1">2</definedName>
    <definedName name="solver_val" localSheetId="2" hidden="1">0</definedName>
    <definedName name="solver_val" localSheetId="0" hidden="1">0</definedName>
    <definedName name="solver_val" localSheetId="1" hidden="1">0</definedName>
    <definedName name="solver_val" localSheetId="3" hidden="1">0</definedName>
    <definedName name="solver_ver" localSheetId="2" hidden="1">3</definedName>
    <definedName name="solver_ver" localSheetId="0" hidden="1">3</definedName>
    <definedName name="solver_ver" localSheetId="1" hidden="1">3</definedName>
    <definedName name="solver_ver" localSheetId="3" hidden="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8" i="6" l="1"/>
  <c r="R70" i="1"/>
  <c r="T16" i="1"/>
  <c r="S57" i="1"/>
  <c r="AD57" i="1" s="1"/>
  <c r="R57" i="1"/>
  <c r="AC57" i="1" s="1"/>
  <c r="R11" i="1"/>
  <c r="P79" i="2"/>
  <c r="P78" i="2"/>
  <c r="P75" i="2"/>
  <c r="P76" i="2"/>
  <c r="P82" i="2"/>
  <c r="P81" i="2"/>
  <c r="M59" i="2"/>
  <c r="M56" i="2"/>
  <c r="M53" i="2"/>
  <c r="M50" i="2"/>
  <c r="N48" i="2"/>
  <c r="O48" i="2" s="1"/>
  <c r="N49" i="2"/>
  <c r="O49" i="2" s="1"/>
  <c r="N51" i="2"/>
  <c r="O51" i="2" s="1"/>
  <c r="N52" i="2"/>
  <c r="O52" i="2" s="1"/>
  <c r="N54" i="2"/>
  <c r="O54" i="2" s="1"/>
  <c r="N55" i="2"/>
  <c r="O55" i="2" s="1"/>
  <c r="N57" i="2"/>
  <c r="O57" i="2" s="1"/>
  <c r="N58" i="2"/>
  <c r="O58" i="2" s="1"/>
  <c r="P97" i="2"/>
  <c r="P74" i="2" l="1"/>
  <c r="R10" i="1"/>
  <c r="R7" i="1" s="1"/>
  <c r="S46" i="2" l="1"/>
  <c r="F105" i="2"/>
  <c r="E104" i="2"/>
  <c r="E102" i="2"/>
  <c r="E103" i="2"/>
  <c r="E101" i="2"/>
  <c r="C104" i="2"/>
  <c r="D102" i="2"/>
  <c r="D103" i="2"/>
  <c r="D104" i="2"/>
  <c r="D101" i="2"/>
  <c r="C102" i="2"/>
  <c r="C103" i="2"/>
  <c r="C101" i="2"/>
  <c r="H52" i="6"/>
  <c r="I52" i="6" s="1"/>
  <c r="C63" i="6"/>
  <c r="C64" i="6"/>
  <c r="B5" i="6"/>
  <c r="B6" i="6"/>
  <c r="B7" i="6"/>
  <c r="B8" i="6"/>
  <c r="D65" i="6" s="1"/>
  <c r="B9" i="6"/>
  <c r="B11" i="6" s="1"/>
  <c r="D20" i="6"/>
  <c r="F20" i="6" s="1"/>
  <c r="G20" i="6" s="1"/>
  <c r="E22" i="6"/>
  <c r="F22" i="6"/>
  <c r="G22" i="6" s="1"/>
  <c r="C27" i="6"/>
  <c r="D48" i="6"/>
  <c r="D58" i="6" s="1"/>
  <c r="D53" i="6"/>
  <c r="E53" i="6" s="1"/>
  <c r="H53" i="6"/>
  <c r="I53" i="6" s="1"/>
  <c r="D54" i="6"/>
  <c r="E54" i="6" s="1"/>
  <c r="H54" i="6"/>
  <c r="I54" i="6" s="1"/>
  <c r="C55" i="6"/>
  <c r="D56" i="6"/>
  <c r="E56" i="6" s="1"/>
  <c r="H56" i="6"/>
  <c r="I56" i="6" s="1"/>
  <c r="D60" i="6"/>
  <c r="F60" i="6" s="1"/>
  <c r="G60" i="6" s="1"/>
  <c r="H60" i="6"/>
  <c r="J60" i="6" s="1"/>
  <c r="K60" i="6" s="1"/>
  <c r="C68" i="6"/>
  <c r="U66" i="2"/>
  <c r="U63" i="2"/>
  <c r="U60" i="2"/>
  <c r="U59" i="2"/>
  <c r="U56" i="2"/>
  <c r="U51" i="2"/>
  <c r="U50" i="2"/>
  <c r="U48" i="2"/>
  <c r="U47" i="2"/>
  <c r="S45" i="2"/>
  <c r="D68" i="6" l="1"/>
  <c r="D61" i="6"/>
  <c r="E61" i="6" s="1"/>
  <c r="F53" i="6"/>
  <c r="G53" i="6" s="1"/>
  <c r="E60" i="6"/>
  <c r="H63" i="6"/>
  <c r="I63" i="6" s="1"/>
  <c r="I60" i="6"/>
  <c r="J53" i="6"/>
  <c r="K53" i="6" s="1"/>
  <c r="H50" i="6"/>
  <c r="J63" i="6"/>
  <c r="K63" i="6" s="1"/>
  <c r="F56" i="6"/>
  <c r="G56" i="6" s="1"/>
  <c r="F61" i="6"/>
  <c r="G61" i="6" s="1"/>
  <c r="E68" i="6"/>
  <c r="E105" i="2"/>
  <c r="D30" i="6"/>
  <c r="F30" i="6" s="1"/>
  <c r="G30" i="6" s="1"/>
  <c r="D42" i="6"/>
  <c r="D43" i="6"/>
  <c r="D44" i="6"/>
  <c r="D37" i="6"/>
  <c r="D40" i="6"/>
  <c r="H67" i="6"/>
  <c r="D21" i="6"/>
  <c r="E21" i="6" s="1"/>
  <c r="H57" i="6"/>
  <c r="I57" i="6" s="1"/>
  <c r="H68" i="6"/>
  <c r="J68" i="6" s="1"/>
  <c r="K68" i="6" s="1"/>
  <c r="H65" i="6"/>
  <c r="F68" i="6"/>
  <c r="G68" i="6" s="1"/>
  <c r="H64" i="6"/>
  <c r="I64" i="6" s="1"/>
  <c r="J56" i="6"/>
  <c r="K56" i="6" s="1"/>
  <c r="D50" i="6"/>
  <c r="D24" i="6"/>
  <c r="D66" i="6"/>
  <c r="D52" i="6"/>
  <c r="E52" i="6" s="1"/>
  <c r="H55" i="6"/>
  <c r="H58" i="6"/>
  <c r="H66" i="6"/>
  <c r="H59" i="6"/>
  <c r="H61" i="6"/>
  <c r="E65" i="6"/>
  <c r="F65" i="6"/>
  <c r="G65" i="6" s="1"/>
  <c r="E58" i="6"/>
  <c r="F58" i="6"/>
  <c r="G58" i="6" s="1"/>
  <c r="E20" i="6"/>
  <c r="D23" i="6"/>
  <c r="D64" i="6"/>
  <c r="D59" i="6"/>
  <c r="D57" i="6"/>
  <c r="D55" i="6"/>
  <c r="D36" i="6"/>
  <c r="D32" i="6"/>
  <c r="J54" i="6"/>
  <c r="K54" i="6" s="1"/>
  <c r="J52" i="6"/>
  <c r="K52" i="6" s="1"/>
  <c r="D41" i="6"/>
  <c r="D26" i="6"/>
  <c r="D35" i="6"/>
  <c r="D31" i="6"/>
  <c r="F54" i="6"/>
  <c r="G54" i="6" s="1"/>
  <c r="D25" i="6"/>
  <c r="D67" i="6"/>
  <c r="D63" i="6"/>
  <c r="D34" i="6"/>
  <c r="U62" i="2"/>
  <c r="U54" i="2"/>
  <c r="F52" i="6" l="1"/>
  <c r="G52" i="6" s="1"/>
  <c r="E30" i="6"/>
  <c r="J64" i="6"/>
  <c r="K64" i="6" s="1"/>
  <c r="I50" i="6"/>
  <c r="J50" i="6"/>
  <c r="K50" i="6" s="1"/>
  <c r="I67" i="6"/>
  <c r="J67" i="6"/>
  <c r="K67" i="6" s="1"/>
  <c r="F40" i="6"/>
  <c r="G40" i="6" s="1"/>
  <c r="E40" i="6"/>
  <c r="J57" i="6"/>
  <c r="K57" i="6" s="1"/>
  <c r="F21" i="6"/>
  <c r="G21" i="6" s="1"/>
  <c r="E37" i="6"/>
  <c r="F37" i="6"/>
  <c r="G37" i="6" s="1"/>
  <c r="F44" i="6"/>
  <c r="G44" i="6" s="1"/>
  <c r="E44" i="6"/>
  <c r="E50" i="6"/>
  <c r="F50" i="6"/>
  <c r="G50" i="6" s="1"/>
  <c r="J65" i="6"/>
  <c r="K65" i="6" s="1"/>
  <c r="I65" i="6"/>
  <c r="E43" i="6"/>
  <c r="F43" i="6"/>
  <c r="G43" i="6" s="1"/>
  <c r="I68" i="6"/>
  <c r="E66" i="6"/>
  <c r="F66" i="6"/>
  <c r="G66" i="6" s="1"/>
  <c r="E42" i="6"/>
  <c r="F42" i="6"/>
  <c r="G42" i="6" s="1"/>
  <c r="F24" i="6"/>
  <c r="G24" i="6" s="1"/>
  <c r="E24" i="6"/>
  <c r="I59" i="6"/>
  <c r="J59" i="6"/>
  <c r="K59" i="6" s="1"/>
  <c r="J66" i="6"/>
  <c r="K66" i="6" s="1"/>
  <c r="I66" i="6"/>
  <c r="J58" i="6"/>
  <c r="K58" i="6" s="1"/>
  <c r="I58" i="6"/>
  <c r="I55" i="6"/>
  <c r="J55" i="6"/>
  <c r="K55" i="6" s="1"/>
  <c r="J61" i="6"/>
  <c r="K61" i="6" s="1"/>
  <c r="I61" i="6"/>
  <c r="F23" i="6"/>
  <c r="G23" i="6" s="1"/>
  <c r="E23" i="6"/>
  <c r="E63" i="6"/>
  <c r="F63" i="6"/>
  <c r="G63" i="6" s="1"/>
  <c r="E31" i="6"/>
  <c r="F31" i="6"/>
  <c r="G31" i="6" s="1"/>
  <c r="E64" i="6"/>
  <c r="F64" i="6"/>
  <c r="G64" i="6" s="1"/>
  <c r="E25" i="6"/>
  <c r="F25" i="6"/>
  <c r="G25" i="6" s="1"/>
  <c r="E35" i="6"/>
  <c r="F35" i="6"/>
  <c r="G35" i="6" s="1"/>
  <c r="E67" i="6"/>
  <c r="F67" i="6"/>
  <c r="G67" i="6" s="1"/>
  <c r="E26" i="6"/>
  <c r="D27" i="6"/>
  <c r="F26" i="6"/>
  <c r="G26" i="6" s="1"/>
  <c r="E41" i="6"/>
  <c r="F41" i="6"/>
  <c r="G41" i="6" s="1"/>
  <c r="F32" i="6"/>
  <c r="G32" i="6" s="1"/>
  <c r="E32" i="6"/>
  <c r="F57" i="6"/>
  <c r="G57" i="6" s="1"/>
  <c r="E57" i="6"/>
  <c r="F36" i="6"/>
  <c r="G36" i="6" s="1"/>
  <c r="E36" i="6"/>
  <c r="F55" i="6"/>
  <c r="G55" i="6" s="1"/>
  <c r="E55" i="6"/>
  <c r="D33" i="6"/>
  <c r="F34" i="6"/>
  <c r="G34" i="6" s="1"/>
  <c r="E34" i="6"/>
  <c r="E59" i="6"/>
  <c r="F59" i="6"/>
  <c r="G59" i="6" s="1"/>
  <c r="U20" i="4"/>
  <c r="T20" i="4"/>
  <c r="O30" i="4" a="1"/>
  <c r="O30" i="4" s="1"/>
  <c r="S22" i="4"/>
  <c r="S21" i="4"/>
  <c r="S20" i="4"/>
  <c r="K69" i="6" l="1"/>
  <c r="G69" i="6"/>
  <c r="E33" i="6"/>
  <c r="F33" i="6"/>
  <c r="G33" i="6" s="1"/>
  <c r="G38" i="6" s="1"/>
  <c r="G45" i="6" s="1"/>
  <c r="E27" i="6"/>
  <c r="F27" i="6"/>
  <c r="G27" i="6" s="1"/>
  <c r="G28" i="6" s="1"/>
  <c r="T32" i="4"/>
  <c r="U32" i="4" s="1"/>
  <c r="T26" i="4"/>
  <c r="U26" i="4" s="1"/>
  <c r="T30" i="4"/>
  <c r="U30" i="4" s="1"/>
  <c r="T35" i="4"/>
  <c r="U35" i="4" s="1"/>
  <c r="T29" i="4"/>
  <c r="U29" i="4" s="1"/>
  <c r="T23" i="4"/>
  <c r="U23" i="4" s="1"/>
  <c r="T22" i="4"/>
  <c r="U22" i="4" s="1"/>
  <c r="T31" i="4"/>
  <c r="U31" i="4" s="1"/>
  <c r="T25" i="4"/>
  <c r="U25" i="4" s="1"/>
  <c r="T24" i="4"/>
  <c r="U24" i="4" s="1"/>
  <c r="T34" i="4"/>
  <c r="U34" i="4" s="1"/>
  <c r="T28" i="4"/>
  <c r="U28" i="4" s="1"/>
  <c r="T33" i="4"/>
  <c r="U33" i="4" s="1"/>
  <c r="T27" i="4"/>
  <c r="U27" i="4" s="1"/>
  <c r="T21" i="4"/>
  <c r="U21" i="4" s="1"/>
  <c r="S24" i="4" l="1"/>
  <c r="R15" i="4" l="1"/>
  <c r="P111" i="4"/>
  <c r="P112" i="4"/>
  <c r="P84" i="4"/>
  <c r="P83" i="4"/>
  <c r="P51" i="4"/>
  <c r="P50" i="4"/>
  <c r="P27" i="4"/>
  <c r="P28" i="4"/>
  <c r="S14" i="4"/>
  <c r="T14" i="4" s="1"/>
  <c r="I120" i="4"/>
  <c r="J120" i="4" s="1"/>
  <c r="K120" i="4" s="1"/>
  <c r="I121" i="4"/>
  <c r="J121" i="4" s="1"/>
  <c r="K121" i="4" s="1"/>
  <c r="I122" i="4"/>
  <c r="J122" i="4" s="1"/>
  <c r="K122" i="4" s="1"/>
  <c r="I123" i="4"/>
  <c r="J123" i="4" s="1"/>
  <c r="K123" i="4" s="1"/>
  <c r="I124" i="4"/>
  <c r="J124" i="4" s="1"/>
  <c r="K124" i="4" s="1"/>
  <c r="I125" i="4"/>
  <c r="J125" i="4" s="1"/>
  <c r="K125" i="4" s="1"/>
  <c r="I126" i="4"/>
  <c r="J126" i="4" s="1"/>
  <c r="K126" i="4" s="1"/>
  <c r="I127" i="4"/>
  <c r="J127" i="4" s="1"/>
  <c r="K127" i="4" s="1"/>
  <c r="I128" i="4"/>
  <c r="J128" i="4" s="1"/>
  <c r="K128" i="4" s="1"/>
  <c r="I129" i="4"/>
  <c r="J129" i="4" s="1"/>
  <c r="K129" i="4" s="1"/>
  <c r="I130" i="4"/>
  <c r="J130" i="4" s="1"/>
  <c r="K130" i="4" s="1"/>
  <c r="I131" i="4"/>
  <c r="J131" i="4" s="1"/>
  <c r="K131" i="4" s="1"/>
  <c r="I119" i="4"/>
  <c r="J119" i="4" s="1"/>
  <c r="K119" i="4" s="1"/>
  <c r="U14" i="4"/>
  <c r="R12" i="4"/>
  <c r="U16" i="4" l="1"/>
  <c r="R16" i="4"/>
  <c r="U15" i="4"/>
  <c r="R17" i="4"/>
  <c r="R14" i="4"/>
  <c r="U17" i="4"/>
  <c r="T17" i="4"/>
  <c r="S17" i="4" s="1"/>
  <c r="T16" i="4"/>
  <c r="S16" i="4" s="1"/>
  <c r="S15" i="4"/>
  <c r="T15" i="4" s="1"/>
  <c r="U5" i="4"/>
  <c r="S5" i="4"/>
  <c r="U4" i="4"/>
  <c r="S4" i="4"/>
  <c r="U3" i="4"/>
  <c r="S3" i="4"/>
  <c r="U6" i="4"/>
  <c r="S6" i="4"/>
  <c r="U10" i="4" l="1"/>
  <c r="U9" i="4"/>
  <c r="S9" i="4"/>
  <c r="T9" i="4" s="1"/>
  <c r="S10" i="4"/>
  <c r="T10" i="4" s="1"/>
  <c r="U11" i="4"/>
  <c r="U8" i="4"/>
  <c r="S8" i="4"/>
  <c r="S11" i="4"/>
  <c r="T11" i="4" s="1"/>
  <c r="U12" i="4" l="1"/>
  <c r="S12" i="4"/>
  <c r="T8" i="4"/>
  <c r="T12" i="4" s="1"/>
  <c r="M31" i="2" l="1"/>
  <c r="Q76" i="2" l="1"/>
  <c r="I46" i="2"/>
  <c r="H46" i="2"/>
  <c r="G46" i="2"/>
  <c r="F46" i="2"/>
  <c r="E46" i="2"/>
  <c r="M26" i="2" l="1"/>
  <c r="M21" i="2"/>
  <c r="Q74" i="2" s="1"/>
  <c r="R74" i="2" s="1"/>
  <c r="G57" i="1"/>
  <c r="H57" i="1"/>
  <c r="E59" i="1"/>
  <c r="F59" i="1"/>
  <c r="E60" i="1"/>
  <c r="F60" i="1"/>
  <c r="E61" i="1"/>
  <c r="F61" i="1"/>
  <c r="E62" i="1"/>
  <c r="F62" i="1"/>
  <c r="E63" i="1"/>
  <c r="F63" i="1"/>
  <c r="E66" i="1"/>
  <c r="F66" i="1"/>
  <c r="E67" i="1"/>
  <c r="F67" i="1"/>
  <c r="E68" i="1"/>
  <c r="F68" i="1"/>
  <c r="E69" i="1"/>
  <c r="F69" i="1"/>
  <c r="E70" i="1"/>
  <c r="F70" i="1"/>
  <c r="E71" i="1"/>
  <c r="F71" i="1"/>
  <c r="E72" i="1"/>
  <c r="F72" i="1"/>
  <c r="E73" i="1"/>
  <c r="F73" i="1"/>
  <c r="E74" i="1"/>
  <c r="F74" i="1"/>
  <c r="E75" i="1"/>
  <c r="F75" i="1"/>
  <c r="E76" i="1"/>
  <c r="F76" i="1"/>
  <c r="E77" i="1"/>
  <c r="F77" i="1"/>
  <c r="E78" i="1"/>
  <c r="F78" i="1"/>
  <c r="E79" i="1"/>
  <c r="F79" i="1"/>
  <c r="E80" i="1"/>
  <c r="F80" i="1"/>
  <c r="E81" i="1"/>
  <c r="F81" i="1"/>
  <c r="E82" i="1"/>
  <c r="F82" i="1"/>
  <c r="E83" i="1"/>
  <c r="E84" i="1"/>
  <c r="F84" i="1"/>
  <c r="F58" i="1"/>
  <c r="E58" i="1"/>
  <c r="E17" i="1"/>
  <c r="F17" i="1"/>
  <c r="E18" i="1"/>
  <c r="F18" i="1"/>
  <c r="E19" i="1"/>
  <c r="F19" i="1"/>
  <c r="E20" i="1"/>
  <c r="F20" i="1"/>
  <c r="E21" i="1"/>
  <c r="F21" i="1"/>
  <c r="E22" i="1"/>
  <c r="F22" i="1"/>
  <c r="E23" i="1"/>
  <c r="F23" i="1"/>
  <c r="E24" i="1"/>
  <c r="F24" i="1"/>
  <c r="E25" i="1"/>
  <c r="F25" i="1"/>
  <c r="E26" i="1"/>
  <c r="F26" i="1"/>
  <c r="E27" i="1"/>
  <c r="F27" i="1"/>
  <c r="E28" i="1"/>
  <c r="F28" i="1"/>
  <c r="E29" i="1"/>
  <c r="F29" i="1"/>
  <c r="E30" i="1"/>
  <c r="F30" i="1"/>
  <c r="E31" i="1"/>
  <c r="F31" i="1"/>
  <c r="E32" i="1"/>
  <c r="F32" i="1"/>
  <c r="E33" i="1"/>
  <c r="F33" i="1"/>
  <c r="E34" i="1"/>
  <c r="F34" i="1"/>
  <c r="E35" i="1"/>
  <c r="F35" i="1"/>
  <c r="E36" i="1"/>
  <c r="F36" i="1"/>
  <c r="E37" i="1"/>
  <c r="F37" i="1"/>
  <c r="E38" i="1"/>
  <c r="F38" i="1"/>
  <c r="E39" i="1"/>
  <c r="F39" i="1"/>
  <c r="E40" i="1"/>
  <c r="F40" i="1"/>
  <c r="E41" i="1"/>
  <c r="F41" i="1"/>
  <c r="E42" i="1"/>
  <c r="F42" i="1"/>
  <c r="E43" i="1"/>
  <c r="F43" i="1"/>
  <c r="E44" i="1"/>
  <c r="F44" i="1"/>
  <c r="E45" i="1"/>
  <c r="F45" i="1"/>
  <c r="E46" i="1"/>
  <c r="F46" i="1"/>
  <c r="E47" i="1"/>
  <c r="F47" i="1"/>
  <c r="E48" i="1"/>
  <c r="F48" i="1"/>
  <c r="E49" i="1"/>
  <c r="F49" i="1"/>
  <c r="E50" i="1"/>
  <c r="F50" i="1"/>
  <c r="E51" i="1"/>
  <c r="F51" i="1"/>
  <c r="E52" i="1"/>
  <c r="F52" i="1"/>
  <c r="E53" i="1"/>
  <c r="F53" i="1"/>
  <c r="E54" i="1"/>
  <c r="F54" i="1"/>
  <c r="E55" i="1"/>
  <c r="F55" i="1"/>
  <c r="E56" i="1"/>
  <c r="F56" i="1"/>
  <c r="F16" i="1"/>
  <c r="E16" i="1"/>
  <c r="Q75" i="2" l="1"/>
  <c r="R16" i="1"/>
  <c r="AC16" i="1" s="1"/>
  <c r="S74" i="1"/>
  <c r="AD74" i="1" s="1"/>
  <c r="R74" i="1"/>
  <c r="AC74" i="1" s="1"/>
  <c r="S81" i="1"/>
  <c r="AD81" i="1" s="1"/>
  <c r="R81" i="1"/>
  <c r="AC81" i="1" s="1"/>
  <c r="R73" i="1"/>
  <c r="S73" i="1"/>
  <c r="R63" i="1"/>
  <c r="AC63" i="1" s="1"/>
  <c r="S63" i="1"/>
  <c r="AD63" i="1" s="1"/>
  <c r="S20" i="1"/>
  <c r="AD20" i="1" s="1"/>
  <c r="R20" i="1"/>
  <c r="AC20" i="1" s="1"/>
  <c r="S82" i="1"/>
  <c r="AD82" i="1" s="1"/>
  <c r="R82" i="1"/>
  <c r="AC82" i="1" s="1"/>
  <c r="R80" i="1"/>
  <c r="AC80" i="1" s="1"/>
  <c r="S80" i="1"/>
  <c r="AD80" i="1" s="1"/>
  <c r="S72" i="1"/>
  <c r="R72" i="1"/>
  <c r="R62" i="1"/>
  <c r="S62" i="1"/>
  <c r="AD62" i="1" s="1"/>
  <c r="S21" i="1"/>
  <c r="AD21" i="1" s="1"/>
  <c r="R21" i="1"/>
  <c r="AC21" i="1" s="1"/>
  <c r="S35" i="1"/>
  <c r="AD35" i="1" s="1"/>
  <c r="R35" i="1"/>
  <c r="AC35" i="1" s="1"/>
  <c r="S37" i="1"/>
  <c r="AD37" i="1" s="1"/>
  <c r="R37" i="1"/>
  <c r="AC37" i="1" s="1"/>
  <c r="R61" i="1"/>
  <c r="AC61" i="1" s="1"/>
  <c r="S61" i="1"/>
  <c r="AD61" i="1" s="1"/>
  <c r="R45" i="1"/>
  <c r="AC45" i="1" s="1"/>
  <c r="S45" i="1"/>
  <c r="AD45" i="1" s="1"/>
  <c r="S52" i="1"/>
  <c r="AD52" i="1" s="1"/>
  <c r="R52" i="1"/>
  <c r="AC52" i="1" s="1"/>
  <c r="S71" i="1"/>
  <c r="R71" i="1"/>
  <c r="S50" i="1"/>
  <c r="AD50" i="1" s="1"/>
  <c r="R50" i="1"/>
  <c r="AC50" i="1" s="1"/>
  <c r="S42" i="1"/>
  <c r="AD42" i="1" s="1"/>
  <c r="R42" i="1"/>
  <c r="AC42" i="1" s="1"/>
  <c r="S34" i="1"/>
  <c r="AD34" i="1" s="1"/>
  <c r="R34" i="1"/>
  <c r="AC34" i="1" s="1"/>
  <c r="S26" i="1"/>
  <c r="AD26" i="1" s="1"/>
  <c r="R26" i="1"/>
  <c r="AC26" i="1" s="1"/>
  <c r="S18" i="1"/>
  <c r="AD18" i="1" s="1"/>
  <c r="R18" i="1"/>
  <c r="AC18" i="1" s="1"/>
  <c r="R78" i="1"/>
  <c r="AC78" i="1" s="1"/>
  <c r="S78" i="1"/>
  <c r="AD78" i="1" s="1"/>
  <c r="S70" i="1"/>
  <c r="R60" i="1"/>
  <c r="AC60" i="1" s="1"/>
  <c r="S60" i="1"/>
  <c r="AD60" i="1" s="1"/>
  <c r="S66" i="1"/>
  <c r="AD66" i="1" s="1"/>
  <c r="R66" i="1"/>
  <c r="AC66" i="1" s="1"/>
  <c r="S49" i="1"/>
  <c r="AD49" i="1" s="1"/>
  <c r="R49" i="1"/>
  <c r="AC49" i="1" s="1"/>
  <c r="S33" i="1"/>
  <c r="AD33" i="1" s="1"/>
  <c r="R33" i="1"/>
  <c r="AC33" i="1" s="1"/>
  <c r="S25" i="1"/>
  <c r="AD25" i="1" s="1"/>
  <c r="R25" i="1"/>
  <c r="AC25" i="1" s="1"/>
  <c r="S17" i="1"/>
  <c r="AD17" i="1" s="1"/>
  <c r="R17" i="1"/>
  <c r="AC17" i="1" s="1"/>
  <c r="R44" i="1"/>
  <c r="AC44" i="1" s="1"/>
  <c r="S44" i="1"/>
  <c r="AD44" i="1" s="1"/>
  <c r="R79" i="1"/>
  <c r="AC79" i="1" s="1"/>
  <c r="S79" i="1"/>
  <c r="AD79" i="1" s="1"/>
  <c r="S41" i="1"/>
  <c r="AD41" i="1" s="1"/>
  <c r="R41" i="1"/>
  <c r="AC41" i="1" s="1"/>
  <c r="S16" i="1"/>
  <c r="AD16" i="1" s="1"/>
  <c r="S77" i="1"/>
  <c r="AD77" i="1" s="1"/>
  <c r="R77" i="1"/>
  <c r="AC77" i="1" s="1"/>
  <c r="S69" i="1"/>
  <c r="AD69" i="1" s="1"/>
  <c r="R69" i="1"/>
  <c r="AC69" i="1" s="1"/>
  <c r="S59" i="1"/>
  <c r="AD59" i="1" s="1"/>
  <c r="R59" i="1"/>
  <c r="AC59" i="1" s="1"/>
  <c r="R28" i="1"/>
  <c r="AC28" i="1" s="1"/>
  <c r="S28" i="1"/>
  <c r="AD28" i="1" s="1"/>
  <c r="S51" i="1"/>
  <c r="AD51" i="1" s="1"/>
  <c r="R51" i="1"/>
  <c r="AC51" i="1" s="1"/>
  <c r="S40" i="1"/>
  <c r="AD40" i="1" s="1"/>
  <c r="R40" i="1"/>
  <c r="AC40" i="1" s="1"/>
  <c r="S32" i="1"/>
  <c r="AD32" i="1" s="1"/>
  <c r="R32" i="1"/>
  <c r="AC32" i="1" s="1"/>
  <c r="S24" i="1"/>
  <c r="AD24" i="1" s="1"/>
  <c r="R24" i="1"/>
  <c r="AC24" i="1" s="1"/>
  <c r="S19" i="1"/>
  <c r="AD19" i="1" s="1"/>
  <c r="R19" i="1"/>
  <c r="AC19" i="1" s="1"/>
  <c r="S58" i="1"/>
  <c r="AD58" i="1" s="1"/>
  <c r="R58" i="1"/>
  <c r="AC58" i="1" s="1"/>
  <c r="S76" i="1"/>
  <c r="AD76" i="1" s="1"/>
  <c r="R76" i="1"/>
  <c r="AC76" i="1" s="1"/>
  <c r="S68" i="1"/>
  <c r="AD68" i="1" s="1"/>
  <c r="R68" i="1"/>
  <c r="AC68" i="1" s="1"/>
  <c r="R29" i="1"/>
  <c r="AC29" i="1" s="1"/>
  <c r="S29" i="1"/>
  <c r="AD29" i="1" s="1"/>
  <c r="R27" i="1"/>
  <c r="AC27" i="1" s="1"/>
  <c r="S27" i="1"/>
  <c r="AD27" i="1" s="1"/>
  <c r="S56" i="1"/>
  <c r="AD56" i="1" s="1"/>
  <c r="R56" i="1"/>
  <c r="AC56" i="1" s="1"/>
  <c r="R47" i="1"/>
  <c r="AC47" i="1" s="1"/>
  <c r="S47" i="1"/>
  <c r="AD47" i="1" s="1"/>
  <c r="S39" i="1"/>
  <c r="AD39" i="1" s="1"/>
  <c r="R39" i="1"/>
  <c r="AC39" i="1" s="1"/>
  <c r="R31" i="1"/>
  <c r="AC31" i="1" s="1"/>
  <c r="S31" i="1"/>
  <c r="AD31" i="1" s="1"/>
  <c r="S23" i="1"/>
  <c r="AD23" i="1" s="1"/>
  <c r="R23" i="1"/>
  <c r="AC23" i="1" s="1"/>
  <c r="S84" i="1"/>
  <c r="AD84" i="1" s="1"/>
  <c r="R84" i="1"/>
  <c r="AC84" i="1" s="1"/>
  <c r="S53" i="1"/>
  <c r="AD53" i="1" s="1"/>
  <c r="R53" i="1"/>
  <c r="AC53" i="1" s="1"/>
  <c r="S36" i="1"/>
  <c r="AD36" i="1" s="1"/>
  <c r="R36" i="1"/>
  <c r="AC36" i="1" s="1"/>
  <c r="R43" i="1"/>
  <c r="AC43" i="1" s="1"/>
  <c r="S43" i="1"/>
  <c r="AD43" i="1" s="1"/>
  <c r="R48" i="1"/>
  <c r="AC48" i="1" s="1"/>
  <c r="S48" i="1"/>
  <c r="AD48" i="1" s="1"/>
  <c r="S75" i="1"/>
  <c r="AD75" i="1" s="1"/>
  <c r="R75" i="1"/>
  <c r="AC75" i="1" s="1"/>
  <c r="S67" i="1"/>
  <c r="AD67" i="1" s="1"/>
  <c r="R67" i="1"/>
  <c r="AC67" i="1" s="1"/>
  <c r="S55" i="1"/>
  <c r="AD55" i="1" s="1"/>
  <c r="R55" i="1"/>
  <c r="AC55" i="1" s="1"/>
  <c r="S54" i="1"/>
  <c r="AD54" i="1" s="1"/>
  <c r="R54" i="1"/>
  <c r="AC54" i="1" s="1"/>
  <c r="R46" i="1"/>
  <c r="AC46" i="1" s="1"/>
  <c r="S46" i="1"/>
  <c r="AD46" i="1" s="1"/>
  <c r="S38" i="1"/>
  <c r="AD38" i="1" s="1"/>
  <c r="R38" i="1"/>
  <c r="AC38" i="1" s="1"/>
  <c r="R30" i="1"/>
  <c r="AC30" i="1" s="1"/>
  <c r="S30" i="1"/>
  <c r="AD30" i="1" s="1"/>
  <c r="S22" i="1"/>
  <c r="AD22" i="1" s="1"/>
  <c r="R22" i="1"/>
  <c r="AC22" i="1" s="1"/>
  <c r="S83" i="1"/>
  <c r="AD83" i="1" s="1"/>
  <c r="R83" i="1"/>
  <c r="AC83" i="1" s="1"/>
  <c r="G58" i="1"/>
  <c r="H16" i="1"/>
  <c r="H74" i="1"/>
  <c r="G81" i="1"/>
  <c r="G78" i="1"/>
  <c r="G75" i="1"/>
  <c r="G72" i="1"/>
  <c r="G69" i="1"/>
  <c r="G66" i="1"/>
  <c r="G61" i="1"/>
  <c r="H56" i="1"/>
  <c r="H47" i="1"/>
  <c r="H41" i="1"/>
  <c r="H35" i="1"/>
  <c r="H29" i="1"/>
  <c r="H23" i="1"/>
  <c r="H20" i="1"/>
  <c r="H17" i="1"/>
  <c r="H83" i="1"/>
  <c r="H53" i="1"/>
  <c r="H50" i="1"/>
  <c r="H44" i="1"/>
  <c r="H38" i="1"/>
  <c r="H32" i="1"/>
  <c r="H26" i="1"/>
  <c r="G38" i="1"/>
  <c r="H70" i="1"/>
  <c r="H52" i="1"/>
  <c r="H43" i="1"/>
  <c r="H34" i="1"/>
  <c r="H28" i="1"/>
  <c r="H25" i="1"/>
  <c r="H22" i="1"/>
  <c r="H19" i="1"/>
  <c r="H55" i="1"/>
  <c r="H49" i="1"/>
  <c r="H46" i="1"/>
  <c r="H40" i="1"/>
  <c r="H37" i="1"/>
  <c r="H31" i="1"/>
  <c r="G80" i="1"/>
  <c r="G77" i="1"/>
  <c r="H71" i="1"/>
  <c r="H68" i="1"/>
  <c r="H63" i="1"/>
  <c r="H60" i="1"/>
  <c r="G50" i="1"/>
  <c r="G29" i="1"/>
  <c r="G79" i="1"/>
  <c r="G70" i="1"/>
  <c r="G67" i="1"/>
  <c r="G59" i="1"/>
  <c r="G46" i="1"/>
  <c r="G43" i="1"/>
  <c r="G19" i="1"/>
  <c r="H66" i="1"/>
  <c r="G41" i="1"/>
  <c r="G53" i="1"/>
  <c r="G82" i="1"/>
  <c r="G76" i="1"/>
  <c r="G73" i="1"/>
  <c r="G62" i="1"/>
  <c r="H54" i="1"/>
  <c r="H51" i="1"/>
  <c r="H48" i="1"/>
  <c r="H45" i="1"/>
  <c r="H42" i="1"/>
  <c r="H39" i="1"/>
  <c r="H36" i="1"/>
  <c r="H33" i="1"/>
  <c r="H27" i="1"/>
  <c r="H24" i="1"/>
  <c r="H21" i="1"/>
  <c r="H18" i="1"/>
  <c r="H84" i="1"/>
  <c r="G16" i="1"/>
  <c r="G48" i="1"/>
  <c r="G36" i="1"/>
  <c r="G24" i="1"/>
  <c r="G18" i="1"/>
  <c r="G52" i="1"/>
  <c r="G49" i="1"/>
  <c r="G40" i="1"/>
  <c r="G37" i="1"/>
  <c r="G34" i="1"/>
  <c r="G31" i="1"/>
  <c r="G28" i="1"/>
  <c r="G25" i="1"/>
  <c r="G22" i="1"/>
  <c r="H58" i="1"/>
  <c r="H81" i="1"/>
  <c r="H78" i="1"/>
  <c r="H75" i="1"/>
  <c r="H69" i="1"/>
  <c r="H61" i="1"/>
  <c r="G83" i="1"/>
  <c r="G54" i="1"/>
  <c r="G42" i="1"/>
  <c r="G30" i="1"/>
  <c r="G55" i="1"/>
  <c r="G71" i="1"/>
  <c r="G68" i="1"/>
  <c r="G63" i="1"/>
  <c r="G60" i="1"/>
  <c r="G51" i="1"/>
  <c r="G39" i="1"/>
  <c r="G33" i="1"/>
  <c r="G21" i="1"/>
  <c r="G56" i="1"/>
  <c r="G47" i="1"/>
  <c r="G44" i="1"/>
  <c r="G35" i="1"/>
  <c r="G32" i="1"/>
  <c r="G26" i="1"/>
  <c r="G23" i="1"/>
  <c r="G20" i="1"/>
  <c r="G17" i="1"/>
  <c r="H82" i="1"/>
  <c r="H79" i="1"/>
  <c r="H76" i="1"/>
  <c r="H73" i="1"/>
  <c r="H67" i="1"/>
  <c r="H62" i="1"/>
  <c r="H59" i="1"/>
  <c r="H72" i="1"/>
  <c r="G45" i="1"/>
  <c r="G27" i="1"/>
  <c r="G84" i="1"/>
  <c r="G74" i="1"/>
  <c r="H30" i="1"/>
  <c r="H80" i="1"/>
  <c r="H77" i="1"/>
  <c r="AD73" i="1" l="1"/>
  <c r="D37" i="2"/>
  <c r="AC73" i="1"/>
  <c r="C37" i="2"/>
  <c r="AD70" i="1"/>
  <c r="D34" i="2"/>
  <c r="AC70" i="1"/>
  <c r="C34" i="2"/>
  <c r="AC71" i="1"/>
  <c r="C35" i="2"/>
  <c r="AC72" i="1"/>
  <c r="C36" i="2"/>
  <c r="AD71" i="1"/>
  <c r="D35" i="2"/>
  <c r="AD72" i="1"/>
  <c r="D36" i="2"/>
  <c r="AC62" i="1"/>
  <c r="D13" i="1"/>
  <c r="I36" i="2" l="1"/>
  <c r="G36" i="2"/>
  <c r="J36" i="2"/>
  <c r="G34" i="2"/>
  <c r="G35" i="2"/>
  <c r="I35" i="2"/>
  <c r="G37" i="2"/>
  <c r="I37" i="2"/>
  <c r="I34" i="2"/>
  <c r="I57" i="1"/>
  <c r="I51" i="1"/>
  <c r="I36" i="1"/>
  <c r="I84" i="1"/>
  <c r="I72" i="1"/>
  <c r="I74" i="1"/>
  <c r="I47" i="1"/>
  <c r="I29" i="1"/>
  <c r="I82" i="1"/>
  <c r="I59" i="1"/>
  <c r="I40" i="1"/>
  <c r="I75" i="1"/>
  <c r="I42" i="1"/>
  <c r="I70" i="1"/>
  <c r="I17" i="1"/>
  <c r="I63" i="1"/>
  <c r="I55" i="1"/>
  <c r="I21" i="1"/>
  <c r="I35" i="1"/>
  <c r="I56" i="1"/>
  <c r="I43" i="1"/>
  <c r="I81" i="1"/>
  <c r="I48" i="1"/>
  <c r="I33" i="1"/>
  <c r="I68" i="1"/>
  <c r="I44" i="1"/>
  <c r="I26" i="1"/>
  <c r="I66" i="1"/>
  <c r="I79" i="1"/>
  <c r="I37" i="1"/>
  <c r="I20" i="1"/>
  <c r="I69" i="1"/>
  <c r="I24" i="1"/>
  <c r="I31" i="1"/>
  <c r="I25" i="1"/>
  <c r="I45" i="1"/>
  <c r="I27" i="1"/>
  <c r="I60" i="1"/>
  <c r="I41" i="1"/>
  <c r="I23" i="1"/>
  <c r="I71" i="1"/>
  <c r="I76" i="1"/>
  <c r="I22" i="1"/>
  <c r="I34" i="1"/>
  <c r="I61" i="1"/>
  <c r="I52" i="1"/>
  <c r="I38" i="1"/>
  <c r="I73" i="1"/>
  <c r="I58" i="1"/>
  <c r="I39" i="1"/>
  <c r="I53" i="1"/>
  <c r="I83" i="1"/>
  <c r="I67" i="1"/>
  <c r="I49" i="1"/>
  <c r="I54" i="1"/>
  <c r="I18" i="1"/>
  <c r="I50" i="1"/>
  <c r="I32" i="1"/>
  <c r="I62" i="1"/>
  <c r="I28" i="1"/>
  <c r="I46" i="1"/>
  <c r="I19" i="1"/>
  <c r="I78" i="1"/>
  <c r="I77" i="1"/>
  <c r="I80" i="1"/>
  <c r="I16" i="1"/>
  <c r="I30" i="1"/>
  <c r="J37" i="2" l="1"/>
  <c r="J35" i="2"/>
  <c r="J34" i="2"/>
  <c r="K67" i="1"/>
  <c r="N67" i="1" s="1"/>
  <c r="D6" i="2" s="1"/>
  <c r="J67" i="1"/>
  <c r="M67" i="1" s="1"/>
  <c r="C6" i="2" s="1"/>
  <c r="K16" i="1"/>
  <c r="N16" i="1" s="1"/>
  <c r="P16" i="1" s="1"/>
  <c r="J16" i="1"/>
  <c r="K28" i="1"/>
  <c r="N28" i="1" s="1"/>
  <c r="J28" i="1"/>
  <c r="K49" i="1"/>
  <c r="N49" i="1" s="1"/>
  <c r="J49" i="1"/>
  <c r="J73" i="1"/>
  <c r="M73" i="1" s="1"/>
  <c r="D20" i="2" s="1"/>
  <c r="K73" i="1"/>
  <c r="N73" i="1" s="1"/>
  <c r="C20" i="2" s="1"/>
  <c r="K76" i="1"/>
  <c r="N76" i="1" s="1"/>
  <c r="J76" i="1"/>
  <c r="M76" i="1" s="1"/>
  <c r="K45" i="1"/>
  <c r="N45" i="1" s="1"/>
  <c r="J45" i="1"/>
  <c r="J37" i="1"/>
  <c r="K37" i="1"/>
  <c r="N37" i="1" s="1"/>
  <c r="K33" i="1"/>
  <c r="N33" i="1" s="1"/>
  <c r="J33" i="1"/>
  <c r="J21" i="1"/>
  <c r="K21" i="1"/>
  <c r="N21" i="1" s="1"/>
  <c r="J75" i="1"/>
  <c r="M75" i="1" s="1"/>
  <c r="K75" i="1"/>
  <c r="N75" i="1" s="1"/>
  <c r="K74" i="1"/>
  <c r="N74" i="1" s="1"/>
  <c r="J74" i="1"/>
  <c r="M74" i="1" s="1"/>
  <c r="K38" i="1"/>
  <c r="N38" i="1" s="1"/>
  <c r="J38" i="1"/>
  <c r="J79" i="1"/>
  <c r="M79" i="1" s="1"/>
  <c r="K79" i="1"/>
  <c r="N79" i="1" s="1"/>
  <c r="K72" i="1"/>
  <c r="N72" i="1" s="1"/>
  <c r="C19" i="2" s="1"/>
  <c r="J72" i="1"/>
  <c r="M72" i="1" s="1"/>
  <c r="D19" i="2" s="1"/>
  <c r="J77" i="1"/>
  <c r="M77" i="1" s="1"/>
  <c r="K77" i="1"/>
  <c r="N77" i="1" s="1"/>
  <c r="J32" i="1"/>
  <c r="K32" i="1"/>
  <c r="N32" i="1" s="1"/>
  <c r="K83" i="1"/>
  <c r="N83" i="1" s="1"/>
  <c r="J83" i="1"/>
  <c r="M83" i="1" s="1"/>
  <c r="K52" i="1"/>
  <c r="N52" i="1" s="1"/>
  <c r="J52" i="1"/>
  <c r="J23" i="1"/>
  <c r="K23" i="1"/>
  <c r="N23" i="1" s="1"/>
  <c r="J31" i="1"/>
  <c r="K31" i="1"/>
  <c r="N31" i="1" s="1"/>
  <c r="K66" i="1"/>
  <c r="N66" i="1" s="1"/>
  <c r="D5" i="2" s="1"/>
  <c r="J66" i="1"/>
  <c r="J81" i="1"/>
  <c r="M81" i="1" s="1"/>
  <c r="K81" i="1"/>
  <c r="N81" i="1" s="1"/>
  <c r="J63" i="1"/>
  <c r="K63" i="1"/>
  <c r="N63" i="1" s="1"/>
  <c r="K59" i="1"/>
  <c r="N59" i="1" s="1"/>
  <c r="J59" i="1"/>
  <c r="J84" i="1"/>
  <c r="M84" i="1" s="1"/>
  <c r="K84" i="1"/>
  <c r="N84" i="1" s="1"/>
  <c r="J80" i="1"/>
  <c r="M80" i="1" s="1"/>
  <c r="K80" i="1"/>
  <c r="N80" i="1" s="1"/>
  <c r="J50" i="1"/>
  <c r="K50" i="1"/>
  <c r="N50" i="1" s="1"/>
  <c r="K41" i="1"/>
  <c r="N41" i="1" s="1"/>
  <c r="J41" i="1"/>
  <c r="K26" i="1"/>
  <c r="N26" i="1" s="1"/>
  <c r="J26" i="1"/>
  <c r="J43" i="1"/>
  <c r="K43" i="1"/>
  <c r="N43" i="1" s="1"/>
  <c r="J17" i="1"/>
  <c r="K17" i="1"/>
  <c r="N17" i="1" s="1"/>
  <c r="K82" i="1"/>
  <c r="N82" i="1" s="1"/>
  <c r="J82" i="1"/>
  <c r="M82" i="1" s="1"/>
  <c r="J36" i="1"/>
  <c r="K36" i="1"/>
  <c r="N36" i="1" s="1"/>
  <c r="J62" i="1"/>
  <c r="K62" i="1"/>
  <c r="N62" i="1" s="1"/>
  <c r="K25" i="1"/>
  <c r="N25" i="1" s="1"/>
  <c r="J25" i="1"/>
  <c r="J48" i="1"/>
  <c r="K48" i="1"/>
  <c r="N48" i="1" s="1"/>
  <c r="K40" i="1"/>
  <c r="N40" i="1" s="1"/>
  <c r="J40" i="1"/>
  <c r="K19" i="1"/>
  <c r="N19" i="1" s="1"/>
  <c r="J19" i="1"/>
  <c r="K34" i="1"/>
  <c r="N34" i="1" s="1"/>
  <c r="J34" i="1"/>
  <c r="K69" i="1"/>
  <c r="N69" i="1" s="1"/>
  <c r="D8" i="2" s="1"/>
  <c r="J69" i="1"/>
  <c r="M69" i="1" s="1"/>
  <c r="C8" i="2" s="1"/>
  <c r="K44" i="1"/>
  <c r="N44" i="1" s="1"/>
  <c r="J44" i="1"/>
  <c r="J56" i="1"/>
  <c r="K56" i="1"/>
  <c r="N56" i="1" s="1"/>
  <c r="J70" i="1"/>
  <c r="M70" i="1" s="1"/>
  <c r="D17" i="2" s="1"/>
  <c r="K70" i="1"/>
  <c r="N70" i="1" s="1"/>
  <c r="C17" i="2" s="1"/>
  <c r="J29" i="1"/>
  <c r="K29" i="1"/>
  <c r="N29" i="1" s="1"/>
  <c r="K51" i="1"/>
  <c r="N51" i="1" s="1"/>
  <c r="J51" i="1"/>
  <c r="K71" i="1"/>
  <c r="N71" i="1" s="1"/>
  <c r="C18" i="2" s="1"/>
  <c r="J71" i="1"/>
  <c r="M71" i="1" s="1"/>
  <c r="D18" i="2" s="1"/>
  <c r="K55" i="1"/>
  <c r="N55" i="1" s="1"/>
  <c r="J55" i="1"/>
  <c r="J78" i="1"/>
  <c r="M78" i="1" s="1"/>
  <c r="K78" i="1"/>
  <c r="N78" i="1" s="1"/>
  <c r="K53" i="1"/>
  <c r="N53" i="1" s="1"/>
  <c r="J53" i="1"/>
  <c r="J61" i="1"/>
  <c r="K61" i="1"/>
  <c r="N61" i="1" s="1"/>
  <c r="K24" i="1"/>
  <c r="N24" i="1" s="1"/>
  <c r="J24" i="1"/>
  <c r="J18" i="1"/>
  <c r="K18" i="1"/>
  <c r="N18" i="1" s="1"/>
  <c r="J39" i="1"/>
  <c r="K39" i="1"/>
  <c r="N39" i="1" s="1"/>
  <c r="K60" i="1"/>
  <c r="N60" i="1" s="1"/>
  <c r="J60" i="1"/>
  <c r="J30" i="1"/>
  <c r="K30" i="1"/>
  <c r="N30" i="1" s="1"/>
  <c r="K46" i="1"/>
  <c r="N46" i="1" s="1"/>
  <c r="J46" i="1"/>
  <c r="K54" i="1"/>
  <c r="N54" i="1" s="1"/>
  <c r="J54" i="1"/>
  <c r="K58" i="1"/>
  <c r="N58" i="1" s="1"/>
  <c r="J58" i="1"/>
  <c r="K22" i="1"/>
  <c r="N22" i="1" s="1"/>
  <c r="J22" i="1"/>
  <c r="K27" i="1"/>
  <c r="N27" i="1" s="1"/>
  <c r="J27" i="1"/>
  <c r="K20" i="1"/>
  <c r="N20" i="1" s="1"/>
  <c r="J20" i="1"/>
  <c r="J68" i="1"/>
  <c r="M68" i="1" s="1"/>
  <c r="C7" i="2" s="1"/>
  <c r="K68" i="1"/>
  <c r="N68" i="1" s="1"/>
  <c r="D7" i="2" s="1"/>
  <c r="J35" i="1"/>
  <c r="K35" i="1"/>
  <c r="N35" i="1" s="1"/>
  <c r="K42" i="1"/>
  <c r="N42" i="1" s="1"/>
  <c r="J42" i="1"/>
  <c r="J47" i="1"/>
  <c r="K47" i="1"/>
  <c r="N47" i="1" s="1"/>
  <c r="J57" i="1"/>
  <c r="K57" i="1"/>
  <c r="N57" i="1" s="1"/>
  <c r="J38" i="2" l="1"/>
  <c r="P68" i="1"/>
  <c r="T68" i="1" s="1"/>
  <c r="P66" i="1"/>
  <c r="Q73" i="1"/>
  <c r="U73" i="1" s="1"/>
  <c r="Q74" i="1"/>
  <c r="U74" i="1" s="1"/>
  <c r="Q71" i="1"/>
  <c r="U71" i="1" s="1"/>
  <c r="Q68" i="1"/>
  <c r="U68" i="1" s="1"/>
  <c r="AC13" i="1"/>
  <c r="AC12" i="1"/>
  <c r="Q70" i="1"/>
  <c r="U70" i="1" s="1"/>
  <c r="Q72" i="1"/>
  <c r="P17" i="1"/>
  <c r="T17" i="1" s="1"/>
  <c r="Q76" i="1"/>
  <c r="U76" i="1" s="1"/>
  <c r="P20" i="1"/>
  <c r="T20" i="1" s="1"/>
  <c r="P77" i="1"/>
  <c r="T77" i="1" s="1"/>
  <c r="P60" i="1"/>
  <c r="T60" i="1" s="1"/>
  <c r="P79" i="1"/>
  <c r="T79" i="1" s="1"/>
  <c r="P73" i="1"/>
  <c r="T73" i="1" s="1"/>
  <c r="Q81" i="1"/>
  <c r="U81" i="1" s="1"/>
  <c r="Q79" i="1"/>
  <c r="U79" i="1" s="1"/>
  <c r="P38" i="1"/>
  <c r="T38" i="1" s="1"/>
  <c r="P63" i="1"/>
  <c r="T63" i="1" s="1"/>
  <c r="P71" i="1"/>
  <c r="T71" i="1" s="1"/>
  <c r="P40" i="1"/>
  <c r="T40" i="1" s="1"/>
  <c r="P81" i="1"/>
  <c r="T81" i="1" s="1"/>
  <c r="P48" i="1"/>
  <c r="T48" i="1" s="1"/>
  <c r="P25" i="1"/>
  <c r="T25" i="1" s="1"/>
  <c r="P74" i="1"/>
  <c r="T74" i="1" s="1"/>
  <c r="P49" i="1"/>
  <c r="T49" i="1" s="1"/>
  <c r="P34" i="1"/>
  <c r="T34" i="1" s="1"/>
  <c r="P27" i="1"/>
  <c r="T27" i="1" s="1"/>
  <c r="P61" i="1"/>
  <c r="T61" i="1" s="1"/>
  <c r="P56" i="1"/>
  <c r="T56" i="1" s="1"/>
  <c r="P62" i="1"/>
  <c r="T62" i="1" s="1"/>
  <c r="P80" i="1"/>
  <c r="T80" i="1" s="1"/>
  <c r="P75" i="1"/>
  <c r="T75" i="1" s="1"/>
  <c r="P41" i="1"/>
  <c r="T41" i="1" s="1"/>
  <c r="P52" i="1"/>
  <c r="T52" i="1" s="1"/>
  <c r="Q75" i="1"/>
  <c r="U75" i="1" s="1"/>
  <c r="P28" i="1"/>
  <c r="T28" i="1" s="1"/>
  <c r="P37" i="1"/>
  <c r="T37" i="1" s="1"/>
  <c r="P43" i="1"/>
  <c r="T43" i="1" s="1"/>
  <c r="P19" i="1"/>
  <c r="T19" i="1" s="1"/>
  <c r="P39" i="1"/>
  <c r="T39" i="1" s="1"/>
  <c r="P51" i="1"/>
  <c r="T51" i="1" s="1"/>
  <c r="P18" i="1"/>
  <c r="T18" i="1" s="1"/>
  <c r="P24" i="1"/>
  <c r="T24" i="1" s="1"/>
  <c r="P57" i="1"/>
  <c r="T57" i="1" s="1"/>
  <c r="P58" i="1"/>
  <c r="T58" i="1" s="1"/>
  <c r="P47" i="1"/>
  <c r="T47" i="1" s="1"/>
  <c r="P36" i="1"/>
  <c r="T36" i="1" s="1"/>
  <c r="P84" i="1"/>
  <c r="T84" i="1" s="1"/>
  <c r="Q83" i="1"/>
  <c r="U83" i="1" s="1"/>
  <c r="P21" i="1"/>
  <c r="T21" i="1" s="1"/>
  <c r="P29" i="1"/>
  <c r="T29" i="1" s="1"/>
  <c r="P50" i="1"/>
  <c r="T50" i="1" s="1"/>
  <c r="P54" i="1"/>
  <c r="T54" i="1" s="1"/>
  <c r="Q84" i="1"/>
  <c r="U84" i="1" s="1"/>
  <c r="P83" i="1"/>
  <c r="T83" i="1" s="1"/>
  <c r="P35" i="1"/>
  <c r="T35" i="1" s="1"/>
  <c r="P55" i="1"/>
  <c r="T55" i="1" s="1"/>
  <c r="P72" i="1"/>
  <c r="T72" i="1" s="1"/>
  <c r="P76" i="1"/>
  <c r="T76" i="1" s="1"/>
  <c r="P70" i="1"/>
  <c r="T70" i="1" s="1"/>
  <c r="P22" i="1"/>
  <c r="T22" i="1" s="1"/>
  <c r="Q80" i="1"/>
  <c r="U80" i="1" s="1"/>
  <c r="P53" i="1"/>
  <c r="T53" i="1" s="1"/>
  <c r="P78" i="1"/>
  <c r="T78" i="1" s="1"/>
  <c r="Q69" i="1"/>
  <c r="U69" i="1" s="1"/>
  <c r="Q82" i="1"/>
  <c r="U82" i="1" s="1"/>
  <c r="P32" i="1"/>
  <c r="T32" i="1" s="1"/>
  <c r="Q67" i="1"/>
  <c r="U67" i="1" s="1"/>
  <c r="P30" i="1"/>
  <c r="T30" i="1" s="1"/>
  <c r="Q77" i="1"/>
  <c r="U77" i="1" s="1"/>
  <c r="P45" i="1"/>
  <c r="T45" i="1" s="1"/>
  <c r="P26" i="1"/>
  <c r="T26" i="1" s="1"/>
  <c r="P31" i="1"/>
  <c r="T31" i="1" s="1"/>
  <c r="P23" i="1"/>
  <c r="T23" i="1" s="1"/>
  <c r="P44" i="1"/>
  <c r="T44" i="1" s="1"/>
  <c r="P42" i="1"/>
  <c r="T42" i="1" s="1"/>
  <c r="P46" i="1"/>
  <c r="T46" i="1" s="1"/>
  <c r="Q78" i="1"/>
  <c r="U78" i="1" s="1"/>
  <c r="P69" i="1"/>
  <c r="T69" i="1" s="1"/>
  <c r="P82" i="1"/>
  <c r="T82" i="1" s="1"/>
  <c r="P59" i="1"/>
  <c r="T59" i="1" s="1"/>
  <c r="P33" i="1"/>
  <c r="T33" i="1" s="1"/>
  <c r="P67" i="1"/>
  <c r="T67" i="1" s="1"/>
  <c r="T66" i="1"/>
  <c r="U72" i="1"/>
  <c r="C85" i="2"/>
  <c r="D85" i="2"/>
  <c r="C24" i="2"/>
  <c r="D24" i="2"/>
  <c r="D42" i="2"/>
  <c r="D86" i="2"/>
  <c r="C23" i="2"/>
  <c r="C42" i="2"/>
  <c r="C86" i="2"/>
  <c r="D23" i="2"/>
  <c r="D28" i="2"/>
  <c r="D27" i="2"/>
  <c r="D22" i="2"/>
  <c r="C27" i="2"/>
  <c r="C22" i="2"/>
  <c r="G22" i="2" s="1"/>
  <c r="D87" i="2"/>
  <c r="D43" i="2"/>
  <c r="C30" i="2"/>
  <c r="C28" i="2"/>
  <c r="C43" i="2"/>
  <c r="T28" i="2" s="1"/>
  <c r="C87" i="2"/>
  <c r="D30" i="2"/>
  <c r="D25" i="2"/>
  <c r="C29" i="2"/>
  <c r="C25" i="2"/>
  <c r="D29" i="2"/>
  <c r="C41" i="2"/>
  <c r="D41" i="2"/>
  <c r="D10" i="2"/>
  <c r="D11" i="2"/>
  <c r="D13" i="2"/>
  <c r="D12" i="2"/>
  <c r="L81" i="1"/>
  <c r="L44" i="1"/>
  <c r="M44" i="1"/>
  <c r="L26" i="1"/>
  <c r="M26" i="1"/>
  <c r="L72" i="1"/>
  <c r="L68" i="1"/>
  <c r="M39" i="1"/>
  <c r="L39" i="1"/>
  <c r="L61" i="1"/>
  <c r="M61" i="1"/>
  <c r="M29" i="1"/>
  <c r="L29" i="1"/>
  <c r="L80" i="1"/>
  <c r="L63" i="1"/>
  <c r="M63" i="1"/>
  <c r="M31" i="1"/>
  <c r="L31" i="1"/>
  <c r="L74" i="1"/>
  <c r="M47" i="1"/>
  <c r="L47" i="1"/>
  <c r="L42" i="1"/>
  <c r="M42" i="1"/>
  <c r="M20" i="1"/>
  <c r="L20" i="1"/>
  <c r="L58" i="1"/>
  <c r="M58" i="1"/>
  <c r="M53" i="1"/>
  <c r="L53" i="1"/>
  <c r="L71" i="1"/>
  <c r="L69" i="1"/>
  <c r="L40" i="1"/>
  <c r="M40" i="1"/>
  <c r="M41" i="1"/>
  <c r="L41" i="1"/>
  <c r="N12" i="1"/>
  <c r="M16" i="1"/>
  <c r="Q16" i="1" s="1"/>
  <c r="L16" i="1"/>
  <c r="M46" i="1"/>
  <c r="L46" i="1"/>
  <c r="L55" i="1"/>
  <c r="M55" i="1"/>
  <c r="L82" i="1"/>
  <c r="M33" i="1"/>
  <c r="L33" i="1"/>
  <c r="L30" i="1"/>
  <c r="M30" i="1"/>
  <c r="L18" i="1"/>
  <c r="M18" i="1"/>
  <c r="L70" i="1"/>
  <c r="M62" i="1"/>
  <c r="L62" i="1"/>
  <c r="M17" i="1"/>
  <c r="L17" i="1"/>
  <c r="L84" i="1"/>
  <c r="M23" i="1"/>
  <c r="L23" i="1"/>
  <c r="L32" i="1"/>
  <c r="M32" i="1"/>
  <c r="L79" i="1"/>
  <c r="L75" i="1"/>
  <c r="L37" i="1"/>
  <c r="M37" i="1"/>
  <c r="L73" i="1"/>
  <c r="M22" i="1"/>
  <c r="L22" i="1"/>
  <c r="M19" i="1"/>
  <c r="L19" i="1"/>
  <c r="L28" i="1"/>
  <c r="M28" i="1"/>
  <c r="L54" i="1"/>
  <c r="M54" i="1"/>
  <c r="L24" i="1"/>
  <c r="M24" i="1"/>
  <c r="M51" i="1"/>
  <c r="L51" i="1"/>
  <c r="L34" i="1"/>
  <c r="M34" i="1"/>
  <c r="M59" i="1"/>
  <c r="L59" i="1"/>
  <c r="L66" i="1"/>
  <c r="M66" i="1"/>
  <c r="C5" i="2" s="1"/>
  <c r="M52" i="1"/>
  <c r="L52" i="1"/>
  <c r="M38" i="1"/>
  <c r="L38" i="1"/>
  <c r="L45" i="1"/>
  <c r="M45" i="1"/>
  <c r="L49" i="1"/>
  <c r="M49" i="1"/>
  <c r="L67" i="1"/>
  <c r="M25" i="1"/>
  <c r="L25" i="1"/>
  <c r="L83" i="1"/>
  <c r="L76" i="1"/>
  <c r="M27" i="1"/>
  <c r="L27" i="1"/>
  <c r="M60" i="1"/>
  <c r="L60" i="1"/>
  <c r="M57" i="1"/>
  <c r="L57" i="1"/>
  <c r="M35" i="1"/>
  <c r="L35" i="1"/>
  <c r="L78" i="1"/>
  <c r="M56" i="1"/>
  <c r="L56" i="1"/>
  <c r="M48" i="1"/>
  <c r="L48" i="1"/>
  <c r="L36" i="1"/>
  <c r="M36" i="1"/>
  <c r="M43" i="1"/>
  <c r="L43" i="1"/>
  <c r="L50" i="1"/>
  <c r="M50" i="1"/>
  <c r="L77" i="1"/>
  <c r="M21" i="1"/>
  <c r="L21" i="1"/>
  <c r="Q66" i="1" l="1"/>
  <c r="AD13" i="1"/>
  <c r="Q50" i="1"/>
  <c r="U50" i="1" s="1"/>
  <c r="Q41" i="1"/>
  <c r="U41" i="1" s="1"/>
  <c r="Q30" i="1"/>
  <c r="U30" i="1" s="1"/>
  <c r="Q43" i="1"/>
  <c r="U43" i="1" s="1"/>
  <c r="Q37" i="1"/>
  <c r="U37" i="1" s="1"/>
  <c r="Q25" i="1"/>
  <c r="U25" i="1" s="1"/>
  <c r="Q32" i="1"/>
  <c r="U32" i="1" s="1"/>
  <c r="Q60" i="1"/>
  <c r="U60" i="1" s="1"/>
  <c r="Q27" i="1"/>
  <c r="U27" i="1" s="1"/>
  <c r="Q63" i="1"/>
  <c r="U63" i="1" s="1"/>
  <c r="Q34" i="1"/>
  <c r="U34" i="1" s="1"/>
  <c r="Q33" i="1"/>
  <c r="U33" i="1" s="1"/>
  <c r="Q45" i="1"/>
  <c r="U45" i="1" s="1"/>
  <c r="Q54" i="1"/>
  <c r="U54" i="1" s="1"/>
  <c r="Q23" i="1"/>
  <c r="U23" i="1" s="1"/>
  <c r="Q20" i="1"/>
  <c r="U20" i="1" s="1"/>
  <c r="Q39" i="1"/>
  <c r="U39" i="1" s="1"/>
  <c r="Q59" i="1"/>
  <c r="U59" i="1" s="1"/>
  <c r="Q46" i="1"/>
  <c r="U46" i="1" s="1"/>
  <c r="Q18" i="1"/>
  <c r="U18" i="1" s="1"/>
  <c r="Q61" i="1"/>
  <c r="U61" i="1" s="1"/>
  <c r="Q49" i="1"/>
  <c r="U49" i="1" s="1"/>
  <c r="Q56" i="1"/>
  <c r="U56" i="1" s="1"/>
  <c r="Q42" i="1"/>
  <c r="U42" i="1" s="1"/>
  <c r="Q35" i="1"/>
  <c r="U35" i="1" s="1"/>
  <c r="Q28" i="1"/>
  <c r="U28" i="1" s="1"/>
  <c r="Q22" i="1"/>
  <c r="U22" i="1" s="1"/>
  <c r="Q51" i="1"/>
  <c r="U51" i="1" s="1"/>
  <c r="Q17" i="1"/>
  <c r="U17" i="1" s="1"/>
  <c r="Q40" i="1"/>
  <c r="U40" i="1" s="1"/>
  <c r="Q36" i="1"/>
  <c r="U36" i="1" s="1"/>
  <c r="Q29" i="1"/>
  <c r="U29" i="1" s="1"/>
  <c r="Q55" i="1"/>
  <c r="U55" i="1" s="1"/>
  <c r="Q38" i="1"/>
  <c r="U38" i="1" s="1"/>
  <c r="Q26" i="1"/>
  <c r="U26" i="1" s="1"/>
  <c r="Q47" i="1"/>
  <c r="U47" i="1" s="1"/>
  <c r="Q31" i="1"/>
  <c r="U31" i="1" s="1"/>
  <c r="Q53" i="1"/>
  <c r="U53" i="1" s="1"/>
  <c r="Q48" i="1"/>
  <c r="U48" i="1" s="1"/>
  <c r="Q58" i="1"/>
  <c r="U58" i="1" s="1"/>
  <c r="Q24" i="1"/>
  <c r="U24" i="1" s="1"/>
  <c r="U16" i="1"/>
  <c r="Q21" i="1"/>
  <c r="U21" i="1" s="1"/>
  <c r="Q57" i="1"/>
  <c r="U57" i="1" s="1"/>
  <c r="Q52" i="1"/>
  <c r="U52" i="1" s="1"/>
  <c r="Q19" i="1"/>
  <c r="U19" i="1" s="1"/>
  <c r="Q62" i="1"/>
  <c r="U62" i="1" s="1"/>
  <c r="Q44" i="1"/>
  <c r="U44" i="1" s="1"/>
  <c r="U66" i="1"/>
  <c r="G19" i="2"/>
  <c r="G18" i="2"/>
  <c r="G30" i="2"/>
  <c r="C63" i="2"/>
  <c r="C60" i="2"/>
  <c r="L63" i="2" s="1"/>
  <c r="M63" i="2" s="1"/>
  <c r="C57" i="2"/>
  <c r="J57" i="2" s="1"/>
  <c r="G20" i="2"/>
  <c r="G17" i="2"/>
  <c r="T14" i="1" a="1"/>
  <c r="T14" i="1" s="1"/>
  <c r="C90" i="2"/>
  <c r="D90" i="2" s="1"/>
  <c r="I23" i="2"/>
  <c r="G24" i="2"/>
  <c r="G25" i="2"/>
  <c r="C91" i="2"/>
  <c r="D91" i="2" s="1"/>
  <c r="Q20" i="2"/>
  <c r="R20" i="2" s="1"/>
  <c r="W20" i="2" s="1"/>
  <c r="G80" i="2"/>
  <c r="H80" i="2" s="1"/>
  <c r="I80" i="2" s="1"/>
  <c r="C49" i="2"/>
  <c r="Q79" i="2" s="1"/>
  <c r="T13" i="1"/>
  <c r="G78" i="2"/>
  <c r="H78" i="2" s="1"/>
  <c r="I78" i="2" s="1"/>
  <c r="E89" i="2"/>
  <c r="F89" i="2" s="1"/>
  <c r="F42" i="2"/>
  <c r="C66" i="2"/>
  <c r="L69" i="2" s="1"/>
  <c r="M69" i="2" s="1"/>
  <c r="T23" i="2"/>
  <c r="C89" i="2"/>
  <c r="D89" i="2" s="1"/>
  <c r="Q30" i="2"/>
  <c r="D69" i="2"/>
  <c r="T29" i="2"/>
  <c r="E90" i="2"/>
  <c r="E91" i="2"/>
  <c r="F91" i="2" s="1"/>
  <c r="G42" i="2"/>
  <c r="J42" i="2" s="1"/>
  <c r="T24" i="2"/>
  <c r="C67" i="2"/>
  <c r="L70" i="2" s="1"/>
  <c r="M70" i="2" s="1"/>
  <c r="I20" i="2"/>
  <c r="I17" i="2"/>
  <c r="G75" i="2"/>
  <c r="H75" i="2" s="1"/>
  <c r="I75" i="2" s="1"/>
  <c r="G73" i="2"/>
  <c r="H73" i="2" s="1"/>
  <c r="I73" i="2" s="1"/>
  <c r="I25" i="2"/>
  <c r="I22" i="2"/>
  <c r="G23" i="2"/>
  <c r="I24" i="2"/>
  <c r="C52" i="2"/>
  <c r="Q85" i="2" s="1"/>
  <c r="G77" i="2"/>
  <c r="H77" i="2" s="1"/>
  <c r="I77" i="2" s="1"/>
  <c r="G74" i="2"/>
  <c r="H74" i="2" s="1"/>
  <c r="I74" i="2" s="1"/>
  <c r="Q26" i="2"/>
  <c r="R26" i="2" s="1"/>
  <c r="I18" i="2"/>
  <c r="C58" i="2"/>
  <c r="G27" i="2"/>
  <c r="G81" i="2"/>
  <c r="H81" i="2" s="1"/>
  <c r="I81" i="2" s="1"/>
  <c r="G76" i="2"/>
  <c r="H76" i="2" s="1"/>
  <c r="I76" i="2" s="1"/>
  <c r="I19" i="2"/>
  <c r="Q21" i="2"/>
  <c r="R21" i="2" s="1"/>
  <c r="C55" i="2"/>
  <c r="I29" i="2"/>
  <c r="Q31" i="2"/>
  <c r="C48" i="2"/>
  <c r="Q78" i="2" s="1"/>
  <c r="I30" i="2"/>
  <c r="I27" i="2"/>
  <c r="C54" i="2"/>
  <c r="G82" i="2"/>
  <c r="H82" i="2" s="1"/>
  <c r="I82" i="2" s="1"/>
  <c r="C51" i="2"/>
  <c r="Q84" i="2" s="1"/>
  <c r="G79" i="2"/>
  <c r="H79" i="2" s="1"/>
  <c r="I79" i="2" s="1"/>
  <c r="Q25" i="2"/>
  <c r="R25" i="2" s="1"/>
  <c r="S25" i="2" s="1"/>
  <c r="G43" i="2"/>
  <c r="G41" i="2"/>
  <c r="J41" i="2" s="1"/>
  <c r="T19" i="2"/>
  <c r="C64" i="2"/>
  <c r="C61" i="2"/>
  <c r="L64" i="2" s="1"/>
  <c r="M64" i="2" s="1"/>
  <c r="T11" i="2"/>
  <c r="F43" i="2"/>
  <c r="F41" i="2"/>
  <c r="T18" i="2"/>
  <c r="T10" i="2"/>
  <c r="C12" i="2"/>
  <c r="C11" i="2"/>
  <c r="C10" i="2"/>
  <c r="C13" i="2"/>
  <c r="M12" i="1"/>
  <c r="J17" i="2" l="1"/>
  <c r="J20" i="2"/>
  <c r="J18" i="2"/>
  <c r="J19" i="2"/>
  <c r="L19" i="2"/>
  <c r="AD12" i="1"/>
  <c r="K18" i="2"/>
  <c r="K30" i="2"/>
  <c r="I57" i="2"/>
  <c r="C59" i="2"/>
  <c r="Q81" i="2"/>
  <c r="R81" i="2" s="1"/>
  <c r="D59" i="2"/>
  <c r="E59" i="2" s="1"/>
  <c r="Q82" i="2"/>
  <c r="R82" i="2" s="1"/>
  <c r="D57" i="2"/>
  <c r="G57" i="2" s="1"/>
  <c r="G91" i="2"/>
  <c r="L67" i="2"/>
  <c r="M67" i="2" s="1"/>
  <c r="K20" i="2"/>
  <c r="L66" i="2"/>
  <c r="M66" i="2" s="1"/>
  <c r="K25" i="2"/>
  <c r="U13" i="1"/>
  <c r="U14" i="1" a="1"/>
  <c r="U14" i="1" s="1"/>
  <c r="L23" i="2"/>
  <c r="G89" i="2"/>
  <c r="L30" i="2"/>
  <c r="T20" i="2"/>
  <c r="U21" i="2" s="1"/>
  <c r="L25" i="2"/>
  <c r="V20" i="2"/>
  <c r="S20" i="2"/>
  <c r="R30" i="2"/>
  <c r="W30" i="2" s="1"/>
  <c r="D54" i="2"/>
  <c r="I54" i="2"/>
  <c r="J54" i="2"/>
  <c r="L18" i="2"/>
  <c r="S21" i="2"/>
  <c r="V21" i="2"/>
  <c r="W21" i="2"/>
  <c r="K23" i="2"/>
  <c r="K27" i="2"/>
  <c r="J58" i="2"/>
  <c r="D58" i="2"/>
  <c r="I58" i="2"/>
  <c r="K22" i="2"/>
  <c r="L22" i="2"/>
  <c r="L17" i="2"/>
  <c r="L21" i="2" s="1"/>
  <c r="K17" i="2"/>
  <c r="D48" i="2"/>
  <c r="I48" i="2"/>
  <c r="J48" i="2"/>
  <c r="W26" i="2"/>
  <c r="T25" i="2"/>
  <c r="U26" i="2" s="1"/>
  <c r="R31" i="2"/>
  <c r="W31" i="2" s="1"/>
  <c r="V26" i="2"/>
  <c r="S26" i="2"/>
  <c r="L20" i="2"/>
  <c r="D66" i="2"/>
  <c r="I66" i="2"/>
  <c r="J66" i="2"/>
  <c r="C68" i="2"/>
  <c r="K24" i="2"/>
  <c r="L24" i="2"/>
  <c r="D67" i="2"/>
  <c r="J67" i="2"/>
  <c r="I67" i="2"/>
  <c r="J49" i="2"/>
  <c r="D49" i="2"/>
  <c r="E49" i="2" s="1"/>
  <c r="I49" i="2"/>
  <c r="F90" i="2"/>
  <c r="G90" i="2" s="1"/>
  <c r="J51" i="2"/>
  <c r="D51" i="2"/>
  <c r="I51" i="2"/>
  <c r="W25" i="2"/>
  <c r="V25" i="2"/>
  <c r="J55" i="2"/>
  <c r="I55" i="2"/>
  <c r="D55" i="2"/>
  <c r="J52" i="2"/>
  <c r="I52" i="2"/>
  <c r="D52" i="2"/>
  <c r="D60" i="2"/>
  <c r="C62" i="2"/>
  <c r="I60" i="2"/>
  <c r="J60" i="2"/>
  <c r="J63" i="2"/>
  <c r="D63" i="2"/>
  <c r="C65" i="2"/>
  <c r="I63" i="2"/>
  <c r="J61" i="2"/>
  <c r="I61" i="2"/>
  <c r="D61" i="2"/>
  <c r="E61" i="2" s="1"/>
  <c r="J64" i="2"/>
  <c r="D64" i="2"/>
  <c r="H64" i="2" s="1"/>
  <c r="I64" i="2"/>
  <c r="J43" i="2"/>
  <c r="Q12" i="2"/>
  <c r="R12" i="2" s="1"/>
  <c r="S12" i="2" s="1"/>
  <c r="G11" i="2"/>
  <c r="H11" i="2" s="1"/>
  <c r="J11" i="2" s="1"/>
  <c r="G13" i="2"/>
  <c r="H13" i="2" s="1"/>
  <c r="J13" i="2" s="1"/>
  <c r="Q13" i="2"/>
  <c r="G12" i="2"/>
  <c r="H12" i="2" s="1"/>
  <c r="J12" i="2" s="1"/>
  <c r="G10" i="2"/>
  <c r="K19" i="2"/>
  <c r="L26" i="2" l="1"/>
  <c r="V56" i="2"/>
  <c r="G59" i="2"/>
  <c r="H59" i="2"/>
  <c r="F59" i="2"/>
  <c r="H57" i="2"/>
  <c r="F57" i="2"/>
  <c r="E57" i="2"/>
  <c r="T21" i="2"/>
  <c r="S30" i="2"/>
  <c r="V30" i="2"/>
  <c r="V31" i="2"/>
  <c r="F67" i="2"/>
  <c r="V66" i="2" s="1"/>
  <c r="G67" i="2"/>
  <c r="E67" i="2"/>
  <c r="H67" i="2"/>
  <c r="J68" i="2"/>
  <c r="I68" i="2"/>
  <c r="D68" i="2"/>
  <c r="T26" i="2"/>
  <c r="H66" i="2"/>
  <c r="E66" i="2"/>
  <c r="G66" i="2"/>
  <c r="F66" i="2"/>
  <c r="G54" i="2"/>
  <c r="H54" i="2"/>
  <c r="E54" i="2"/>
  <c r="F54" i="2"/>
  <c r="V50" i="2"/>
  <c r="H51" i="2"/>
  <c r="F51" i="2"/>
  <c r="G51" i="2"/>
  <c r="E51" i="2"/>
  <c r="F58" i="2"/>
  <c r="F69" i="2" s="1"/>
  <c r="E58" i="2"/>
  <c r="E69" i="2" s="1"/>
  <c r="H58" i="2"/>
  <c r="H69" i="2" s="1"/>
  <c r="D70" i="2"/>
  <c r="G58" i="2"/>
  <c r="G69" i="2" s="1"/>
  <c r="V54" i="2"/>
  <c r="F55" i="2"/>
  <c r="E55" i="2"/>
  <c r="G55" i="2"/>
  <c r="H55" i="2"/>
  <c r="V47" i="2"/>
  <c r="E48" i="2"/>
  <c r="F48" i="2"/>
  <c r="G48" i="2"/>
  <c r="H48" i="2"/>
  <c r="H49" i="2"/>
  <c r="V48" i="2"/>
  <c r="G49" i="2"/>
  <c r="F49" i="2"/>
  <c r="S31" i="2"/>
  <c r="T30" i="2"/>
  <c r="J69" i="2"/>
  <c r="J70" i="2"/>
  <c r="E52" i="2"/>
  <c r="F52" i="2"/>
  <c r="V51" i="2" s="1"/>
  <c r="G52" i="2"/>
  <c r="H52" i="2"/>
  <c r="I70" i="2"/>
  <c r="I69" i="2"/>
  <c r="J65" i="2"/>
  <c r="D65" i="2"/>
  <c r="I65" i="2"/>
  <c r="D62" i="2"/>
  <c r="G62" i="2" s="1"/>
  <c r="J62" i="2"/>
  <c r="I62" i="2"/>
  <c r="E64" i="2"/>
  <c r="G64" i="2"/>
  <c r="F64" i="2"/>
  <c r="V63" i="2"/>
  <c r="H61" i="2"/>
  <c r="G61" i="2"/>
  <c r="V60" i="2"/>
  <c r="F61" i="2"/>
  <c r="H63" i="2"/>
  <c r="V62" i="2"/>
  <c r="E63" i="2"/>
  <c r="G63" i="2"/>
  <c r="F63" i="2"/>
  <c r="V59" i="2"/>
  <c r="F60" i="2"/>
  <c r="G60" i="2"/>
  <c r="H60" i="2"/>
  <c r="E60" i="2"/>
  <c r="W12" i="2"/>
  <c r="V12" i="2"/>
  <c r="R13" i="2"/>
  <c r="L12" i="2"/>
  <c r="M12" i="2" s="1"/>
  <c r="L13" i="2"/>
  <c r="M13" i="2" s="1"/>
  <c r="H10" i="2"/>
  <c r="J10" i="2" s="1"/>
  <c r="O16" i="2"/>
  <c r="T31" i="2" l="1"/>
  <c r="U31" i="2"/>
  <c r="H70" i="2"/>
  <c r="G70" i="2"/>
  <c r="F70" i="2"/>
  <c r="E70" i="2"/>
  <c r="H68" i="2"/>
  <c r="F68" i="2"/>
  <c r="E68" i="2"/>
  <c r="G68" i="2"/>
  <c r="E62" i="2"/>
  <c r="H62" i="2"/>
  <c r="F62" i="2"/>
  <c r="F65" i="2"/>
  <c r="G65" i="2"/>
  <c r="E65" i="2"/>
  <c r="H65" i="2"/>
  <c r="O17" i="2"/>
  <c r="W13" i="2"/>
  <c r="T12" i="2"/>
  <c r="V13" i="2"/>
  <c r="S13" i="2"/>
  <c r="J21" i="2"/>
  <c r="O18" i="2"/>
  <c r="O20" i="2"/>
  <c r="O19" i="2"/>
  <c r="J23" i="2"/>
  <c r="T13" i="2" l="1"/>
  <c r="U13" i="2"/>
  <c r="J24" i="2"/>
  <c r="O21" i="2"/>
  <c r="J25" i="2" l="1"/>
  <c r="J26" i="2" s="1"/>
  <c r="J22" i="2"/>
  <c r="G28" i="2"/>
  <c r="I28" i="2"/>
  <c r="G29" i="2"/>
  <c r="K28" i="2" l="1"/>
  <c r="I26" i="2"/>
  <c r="K29" i="2"/>
  <c r="L29" i="2"/>
  <c r="L28" i="2"/>
  <c r="J28" i="2"/>
  <c r="J29" i="2"/>
  <c r="L31" i="2" l="1"/>
  <c r="J27" i="2"/>
  <c r="J30" i="2"/>
  <c r="J31" i="2" s="1"/>
  <c r="M11" i="1"/>
  <c r="N11" i="1"/>
  <c r="R76" i="2" l="1"/>
  <c r="R83" i="2" s="1"/>
  <c r="R79" i="2" l="1"/>
  <c r="P85" i="2"/>
  <c r="R78" i="2"/>
  <c r="P84" i="2"/>
  <c r="R75" i="2"/>
  <c r="R77" i="2" s="1"/>
  <c r="R80" i="2" l="1"/>
  <c r="R85" i="2"/>
  <c r="R84" i="2"/>
  <c r="R86" i="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<sst xmlns="http://schemas.openxmlformats.org/spreadsheetml/2006/main" count="1070" uniqueCount="777">
  <si>
    <t>Place.</t>
  </si>
  <si>
    <t>From North</t>
  </si>
  <si>
    <t>S.W. corner of the 9th Pyramid</t>
  </si>
  <si>
    <t>A</t>
  </si>
  <si>
    <t>0 935 234</t>
  </si>
  <si>
    <t>3 987 140</t>
  </si>
  <si>
    <t>N. side of 2nd Pyramid Temple</t>
  </si>
  <si>
    <t>B</t>
  </si>
  <si>
    <t>3 411 980</t>
  </si>
  <si>
    <t>5 393 798</t>
  </si>
  <si>
    <t>N. side of 3rd Pyramid Temple</t>
  </si>
  <si>
    <t>C</t>
  </si>
  <si>
    <t>5 839 239</t>
  </si>
  <si>
    <t>8 382 255</t>
  </si>
  <si>
    <t>Top block of 5th Pyramid</t>
  </si>
  <si>
    <t>D</t>
  </si>
  <si>
    <t>6 836 560</t>
  </si>
  <si>
    <t>9 143 054</t>
  </si>
  <si>
    <t>N. side of 3rd Pyramid</t>
  </si>
  <si>
    <t>E</t>
  </si>
  <si>
    <t>6 840 249</t>
  </si>
  <si>
    <t>8 072 225</t>
  </si>
  <si>
    <t>Rock of hill, W. of 1st Pyramid</t>
  </si>
  <si>
    <t>F</t>
  </si>
  <si>
    <t>8 132 966</t>
  </si>
  <si>
    <t>4 246 813</t>
  </si>
  <si>
    <t>Tomb, No.17, Lepsius</t>
  </si>
  <si>
    <t>G</t>
  </si>
  <si>
    <t>6 000 000</t>
  </si>
  <si>
    <t>3 000 000</t>
  </si>
  <si>
    <t>Hillock S.E. of 3rd Pyramid</t>
  </si>
  <si>
    <t>H</t>
  </si>
  <si>
    <t>5 571 047</t>
  </si>
  <si>
    <t>10 092 621</t>
  </si>
  <si>
    <t>Top of large building E. of 3rd Pyramid</t>
  </si>
  <si>
    <t>J</t>
  </si>
  <si>
    <t>1 491 863</t>
  </si>
  <si>
    <t>7 828 554</t>
  </si>
  <si>
    <t>Pile of slabs N.E. of 1st Pyramid</t>
  </si>
  <si>
    <t>K</t>
  </si>
  <si>
    <t>1 425 399</t>
  </si>
  <si>
    <t>1 300 292</t>
  </si>
  <si>
    <t>L</t>
  </si>
  <si>
    <t>2 242 158</t>
  </si>
  <si>
    <t>0 908 159</t>
  </si>
  <si>
    <t>Tomb N.W. of N.W. corner of 1st Pyramid</t>
  </si>
  <si>
    <t>M</t>
  </si>
  <si>
    <t>3 431 388</t>
  </si>
  <si>
    <t>1 483 587</t>
  </si>
  <si>
    <t>Tomb W. of N.W. corner of 1st Pyramid (Gill)</t>
  </si>
  <si>
    <t>N</t>
  </si>
  <si>
    <t>4 136 068</t>
  </si>
  <si>
    <t>1 848 869</t>
  </si>
  <si>
    <t>N.W. socket of 1st Pyramid (Gill)</t>
  </si>
  <si>
    <t>O</t>
  </si>
  <si>
    <t>3 173 572</t>
  </si>
  <si>
    <t>1 844 679</t>
  </si>
  <si>
    <t>Edge of floor of passage of 1st Pyramid</t>
  </si>
  <si>
    <t>P</t>
  </si>
  <si>
    <t>2 221 893</t>
  </si>
  <si>
    <t>1 993 386</t>
  </si>
  <si>
    <t>N.E. socket of 1st Pyramid (Gill)</t>
  </si>
  <si>
    <t>Q</t>
  </si>
  <si>
    <t>1 381 354</t>
  </si>
  <si>
    <t>1 880 871</t>
  </si>
  <si>
    <t>Staff on top of 1st Pyramid</t>
  </si>
  <si>
    <t>R</t>
  </si>
  <si>
    <t>2 298 662</t>
  </si>
  <si>
    <t>2 756 484</t>
  </si>
  <si>
    <t>W. side of 7th Pyramid</t>
  </si>
  <si>
    <t>S</t>
  </si>
  <si>
    <t>0 915 729</t>
  </si>
  <si>
    <t>3 007 571</t>
  </si>
  <si>
    <t>E. side rubbish heap of 1st Pyramid (Gill)</t>
  </si>
  <si>
    <t>T</t>
  </si>
  <si>
    <t>1 477 899</t>
  </si>
  <si>
    <t>2 706 202</t>
  </si>
  <si>
    <t>S.E. socket of 1st Pyramid (Gill)</t>
  </si>
  <si>
    <t>U</t>
  </si>
  <si>
    <t>1 417 048</t>
  </si>
  <si>
    <t>3 672 518</t>
  </si>
  <si>
    <t>S. side on masonry of 1st Pyramid</t>
  </si>
  <si>
    <t>V</t>
  </si>
  <si>
    <t>2 369 777</t>
  </si>
  <si>
    <t>3 523 071</t>
  </si>
  <si>
    <t>S.W. socket of 1st Pyramid</t>
  </si>
  <si>
    <t>W</t>
  </si>
  <si>
    <t>3 206 895</t>
  </si>
  <si>
    <t>3 634 188</t>
  </si>
  <si>
    <t>W. side rubbish heap of 1st Pyramid (Gill)</t>
  </si>
  <si>
    <t>X</t>
  </si>
  <si>
    <t>3 073 389</t>
  </si>
  <si>
    <t>2 745 956</t>
  </si>
  <si>
    <t>Tomb, No.44, Lepsius 1st Pyramid (Gill)</t>
  </si>
  <si>
    <t>Y</t>
  </si>
  <si>
    <t>3 863 947</t>
  </si>
  <si>
    <t>2 926 171</t>
  </si>
  <si>
    <t>E. end of base line, on block of basalt</t>
  </si>
  <si>
    <t>Z</t>
  </si>
  <si>
    <t>1 704 140</t>
  </si>
  <si>
    <t>4 415 043</t>
  </si>
  <si>
    <t>W. end of base line, on block of basalt</t>
  </si>
  <si>
    <t>α</t>
  </si>
  <si>
    <t>3 255 538</t>
  </si>
  <si>
    <t>4 306 415</t>
  </si>
  <si>
    <t>Masonry above, and W. of, door, 2nd Pyramid</t>
  </si>
  <si>
    <t>β</t>
  </si>
  <si>
    <t>4 900 971</t>
  </si>
  <si>
    <t>4 732 762</t>
  </si>
  <si>
    <t>N.W. corner of rock cutting round 2nd Pyramid</t>
  </si>
  <si>
    <t>γ</t>
  </si>
  <si>
    <t>5 968 245</t>
  </si>
  <si>
    <t>4 146 945</t>
  </si>
  <si>
    <t>N.W. corner 2nd Pyramid</t>
  </si>
  <si>
    <t>δ</t>
  </si>
  <si>
    <t>5 758 968</t>
  </si>
  <si>
    <t>4 592 901</t>
  </si>
  <si>
    <t>N.E. corner 2nd Pyramid</t>
  </si>
  <si>
    <t>ε</t>
  </si>
  <si>
    <t>4 092 173</t>
  </si>
  <si>
    <t>4 632 817</t>
  </si>
  <si>
    <t>S.E. corner (on masonry) 2nd Pyramid</t>
  </si>
  <si>
    <t>ζ</t>
  </si>
  <si>
    <t>4 157 284</t>
  </si>
  <si>
    <t>6 251 313</t>
  </si>
  <si>
    <t>S.W. corner 2nd Pyramid</t>
  </si>
  <si>
    <t>η</t>
  </si>
  <si>
    <t>5 785 021</t>
  </si>
  <si>
    <t>6 262 182</t>
  </si>
  <si>
    <t>W. side of rock cutting round 2nd Pyramid</t>
  </si>
  <si>
    <t>θ</t>
  </si>
  <si>
    <t>6 000 994</t>
  </si>
  <si>
    <t>5 950 148</t>
  </si>
  <si>
    <t>Wall W. of 3rd Pyramid</t>
  </si>
  <si>
    <t>ι</t>
  </si>
  <si>
    <t>8 109 839</t>
  </si>
  <si>
    <t>7 563 291</t>
  </si>
  <si>
    <t>N. side of 4th Pyramid</t>
  </si>
  <si>
    <t>κ</t>
  </si>
  <si>
    <t>7 586 701</t>
  </si>
  <si>
    <t>9 054 182</t>
  </si>
  <si>
    <t>N.W. corner of masonry of 3rd Pyramid</t>
  </si>
  <si>
    <t>λ</t>
  </si>
  <si>
    <t>7 200 134</t>
  </si>
  <si>
    <t>8 035 816</t>
  </si>
  <si>
    <t>S.W. corner of masonry of 3rd Pyramid</t>
  </si>
  <si>
    <t>μ</t>
  </si>
  <si>
    <t>7 230 130</t>
  </si>
  <si>
    <t>8 761 575</t>
  </si>
  <si>
    <t>S.E. corner of masonry of 3rd Pyramid</t>
  </si>
  <si>
    <t>ν</t>
  </si>
  <si>
    <t>6 488 386</t>
  </si>
  <si>
    <t>8 786 405</t>
  </si>
  <si>
    <t>N.E. corner of masonry of 3rd Pyramid</t>
  </si>
  <si>
    <t>ξ</t>
  </si>
  <si>
    <t>6 485 183</t>
  </si>
  <si>
    <t>8 038 069</t>
  </si>
  <si>
    <t>Masonry below door, 1st Pyramid</t>
  </si>
  <si>
    <t>π</t>
  </si>
  <si>
    <t>2 249 041</t>
  </si>
  <si>
    <t>1 935 512</t>
  </si>
  <si>
    <t>N. end of North Trench</t>
  </si>
  <si>
    <t>ρ</t>
  </si>
  <si>
    <t>1 180 207</t>
  </si>
  <si>
    <t>2 082 608</t>
  </si>
  <si>
    <t>S. end of North Trench</t>
  </si>
  <si>
    <t>σ</t>
  </si>
  <si>
    <t>  1 175 360?</t>
  </si>
  <si>
    <t>  2 514 650?</t>
  </si>
  <si>
    <r>
      <t>[p. 36]</t>
    </r>
    <r>
      <rPr>
        <sz val="12"/>
        <rFont val="Times New Roman"/>
        <family val="1"/>
      </rPr>
      <t xml:space="preserve"> N. end of South Trench</t>
    </r>
  </si>
  <si>
    <t>τ</t>
  </si>
  <si>
    <t>1 184 632</t>
  </si>
  <si>
    <t>3 051 826</t>
  </si>
  <si>
    <t>S. end of South Trench</t>
  </si>
  <si>
    <t>υ</t>
  </si>
  <si>
    <t>1 180 826</t>
  </si>
  <si>
    <t>3 463 988</t>
  </si>
  <si>
    <t>W. end of E.N.E. Trench</t>
  </si>
  <si>
    <t>ϕ</t>
  </si>
  <si>
    <t>0 881 168</t>
  </si>
  <si>
    <t>2 678 581</t>
  </si>
  <si>
    <t>E. end of E.N.E. Trench</t>
  </si>
  <si>
    <t>χ</t>
  </si>
  <si>
    <t>0 568 721</t>
  </si>
  <si>
    <t>2 648 862</t>
  </si>
  <si>
    <t>S. end of Trial passages</t>
  </si>
  <si>
    <t>ψ</t>
  </si>
  <si>
    <t>0 721 984</t>
  </si>
  <si>
    <t>2 549 708</t>
  </si>
  <si>
    <t>N. end of Trial passages</t>
  </si>
  <si>
    <t>ω</t>
  </si>
  <si>
    <t>0 718 038</t>
  </si>
  <si>
    <t>2 350 481</t>
  </si>
  <si>
    <t>RESULTING CO-ORDINATES OF POINTS OF ANCIENT CONSTRUCTION.</t>
  </si>
  <si>
    <t>Existing casing edge on N. side of 1st pyramid</t>
  </si>
  <si>
    <t>2 281 355</t>
  </si>
  <si>
    <t>1 866 612</t>
  </si>
  <si>
    <t>Existing casing edge on E. side of 1st pyramid</t>
  </si>
  <si>
    <t>1 401 430</t>
  </si>
  <si>
    <t>2 671 090</t>
  </si>
  <si>
    <t>Existing casing edge on S. side of 1st pyramid</t>
  </si>
  <si>
    <t>2 515 643</t>
  </si>
  <si>
    <t>3 646 300</t>
  </si>
  <si>
    <t>Existing casing edge on W. side of 1st pyramid</t>
  </si>
  <si>
    <t>3 185 923</t>
  </si>
  <si>
    <t>2 664 836</t>
  </si>
  <si>
    <t>N.E corner of casing of 1st pyramid</t>
  </si>
  <si>
    <t>1 385 776</t>
  </si>
  <si>
    <t>1 884 598</t>
  </si>
  <si>
    <t>S.E corner of casing of 1st pyramid</t>
  </si>
  <si>
    <t>1 421 276</t>
  </si>
  <si>
    <t>3 668 168</t>
  </si>
  <si>
    <t>S.W corner of casing of 1st pyramid</t>
  </si>
  <si>
    <t>3 205 195</t>
  </si>
  <si>
    <t>3 632 521</t>
  </si>
  <si>
    <t>N.W corner of casing of 1st pyramid</t>
  </si>
  <si>
    <t>3 169 668</t>
  </si>
  <si>
    <t>1 848 772</t>
  </si>
  <si>
    <t>Center of casing of 1st pyramid</t>
  </si>
  <si>
    <t>2 295 478</t>
  </si>
  <si>
    <t>2 758 515</t>
  </si>
  <si>
    <t>N.E. corner of casing of 2nd pyramid</t>
  </si>
  <si>
    <t>4 089 656</t>
  </si>
  <si>
    <t>4 630 771</t>
  </si>
  <si>
    <t>S.E. corner of casing of 2nd pyramid</t>
  </si>
  <si>
    <t>4 121 664</t>
  </si>
  <si>
    <t>6 297 958</t>
  </si>
  <si>
    <t>S.W. corner of casing of 2nd pyramid</t>
  </si>
  <si>
    <t>5 789 181</t>
  </si>
  <si>
    <t>6 265 598</t>
  </si>
  <si>
    <t>N.W. corner of casing of 2nd pyramid</t>
  </si>
  <si>
    <t>5 756 193</t>
  </si>
  <si>
    <t>4 598 359</t>
  </si>
  <si>
    <t>Center of casing of 2nd pyramid</t>
  </si>
  <si>
    <t>4 939 173</t>
  </si>
  <si>
    <t>5 448 171</t>
  </si>
  <si>
    <t>N.E. corner of casing of 3rd pyramid</t>
  </si>
  <si>
    <t>6 437 758</t>
  </si>
  <si>
    <t>7 998 215</t>
  </si>
  <si>
    <t>S.E. corner of casing of 3rd pyramid</t>
  </si>
  <si>
    <t>6 457 924</t>
  </si>
  <si>
    <t>8 814 325</t>
  </si>
  <si>
    <t>S.W. corner of casing of 3rd pyramid</t>
  </si>
  <si>
    <t>7 275 727</t>
  </si>
  <si>
    <t>8 793 987</t>
  </si>
  <si>
    <t>N.W. corner of casing of 3rd pyramid</t>
  </si>
  <si>
    <t>  7 255 560?</t>
  </si>
  <si>
    <t>7 976 980</t>
  </si>
  <si>
    <t>Center of casing of 3rd pyramid</t>
  </si>
  <si>
    <t>6 856 742</t>
  </si>
  <si>
    <t>8 395877</t>
  </si>
  <si>
    <t>Slab in ground N. of entrance of 1st Pyramid (Gill)</t>
  </si>
  <si>
    <t>From North (N)</t>
  </si>
  <si>
    <t>From East (E)</t>
  </si>
  <si>
    <t>Cartesian</t>
  </si>
  <si>
    <t>Petrie Giza Plateau Survey Coordinates</t>
  </si>
  <si>
    <r>
      <t>r</t>
    </r>
    <r>
      <rPr>
        <b/>
        <vertAlign val="subscript"/>
        <sz val="12"/>
        <rFont val="Times New Roman"/>
        <family val="1"/>
      </rPr>
      <t>S</t>
    </r>
    <r>
      <rPr>
        <b/>
        <sz val="12"/>
        <rFont val="Times New Roman"/>
        <family val="1"/>
      </rPr>
      <t xml:space="preserve"> = 
√(E^2+N^2)</t>
    </r>
  </si>
  <si>
    <t>Formula</t>
  </si>
  <si>
    <t>QTL-0.95Ys-QPL</t>
  </si>
  <si>
    <t>R*15</t>
  </si>
  <si>
    <t>R*15/3</t>
  </si>
  <si>
    <t>R*15/4</t>
  </si>
  <si>
    <t>R*19*5/4</t>
  </si>
  <si>
    <t>R*19*3/2/tanA</t>
  </si>
  <si>
    <t>Depth SC</t>
  </si>
  <si>
    <t>R*19*2</t>
  </si>
  <si>
    <t>R*19*7/3</t>
  </si>
  <si>
    <t>R*19*(5/4+3/2/tanA+7/3)</t>
  </si>
  <si>
    <t>R/19*47</t>
  </si>
  <si>
    <t>R/19*43</t>
  </si>
  <si>
    <t>R/19*37</t>
  </si>
  <si>
    <t>R/19*41</t>
  </si>
  <si>
    <t>Depth LP1 &amp; LP2</t>
  </si>
  <si>
    <t>Depth AC Lower</t>
  </si>
  <si>
    <t>Depth AC Upper</t>
  </si>
  <si>
    <t>Height AC Floor to Ceiling</t>
  </si>
  <si>
    <t>Height AC with Subfloor</t>
  </si>
  <si>
    <t>Length KC</t>
  </si>
  <si>
    <t>Depth KC (Top Course)</t>
  </si>
  <si>
    <t>Height KC Excluding Subfloor</t>
  </si>
  <si>
    <t>Height KC above Subfloor</t>
  </si>
  <si>
    <t>Height KC Wall Courses</t>
  </si>
  <si>
    <t>Diff
%</t>
  </si>
  <si>
    <t>Year Line (Y)</t>
  </si>
  <si>
    <t>Length Queen's Passage Low (QPL)</t>
  </si>
  <si>
    <t>Length Queen's Passage High (QPH)</t>
  </si>
  <si>
    <t>Length Queen's Chamber (QCL)</t>
  </si>
  <si>
    <t>Depth Queen's Chamber (QCD)</t>
  </si>
  <si>
    <t>Height Queen's Chamber Walls (QCWH)</t>
  </si>
  <si>
    <t>Height Queen's Chamber Apex (QCAH)</t>
  </si>
  <si>
    <t>Length 1st Low Passage (1LP)</t>
  </si>
  <si>
    <t>Length Antechamber (AC)</t>
  </si>
  <si>
    <t>Length 2nd Low Passage (2LP) (Residual)</t>
  </si>
  <si>
    <t>Ys × 77/3 × tanP</t>
  </si>
  <si>
    <t>Ys × 2</t>
  </si>
  <si>
    <t>Ys × 77/43</t>
  </si>
  <si>
    <t>Ys × 77/16 × tanP</t>
  </si>
  <si>
    <t>°</t>
  </si>
  <si>
    <t>B"</t>
  </si>
  <si>
    <r>
      <t>Year Square (Y</t>
    </r>
    <r>
      <rPr>
        <vertAlign val="subscript"/>
        <sz val="12"/>
        <color theme="1"/>
        <rFont val="Times New Roman"/>
        <family val="1"/>
      </rPr>
      <t xml:space="preserve">S = </t>
    </r>
    <r>
      <rPr>
        <sz val="12"/>
        <color theme="1"/>
        <rFont val="Times New Roman"/>
        <family val="2"/>
      </rPr>
      <t>365.25/(2 × √π))</t>
    </r>
  </si>
  <si>
    <r>
      <t>Casing Angle (A = atan(4/</t>
    </r>
    <r>
      <rPr>
        <sz val="12"/>
        <color theme="1"/>
        <rFont val="Times New Roman"/>
        <family val="1"/>
      </rPr>
      <t>π</t>
    </r>
    <r>
      <rPr>
        <sz val="12"/>
        <color theme="1"/>
        <rFont val="Times New Roman"/>
        <family val="2"/>
      </rPr>
      <t>))</t>
    </r>
  </si>
  <si>
    <r>
      <t>Passage Angle (P = asin(</t>
    </r>
    <r>
      <rPr>
        <sz val="12"/>
        <color theme="1"/>
        <rFont val="Times New Roman"/>
        <family val="1"/>
      </rPr>
      <t>√(π)</t>
    </r>
    <r>
      <rPr>
        <sz val="12"/>
        <color theme="1"/>
        <rFont val="Times New Roman"/>
        <family val="2"/>
      </rPr>
      <t>/4))</t>
    </r>
  </si>
  <si>
    <r>
      <t>Year Circle (Y</t>
    </r>
    <r>
      <rPr>
        <vertAlign val="subscript"/>
        <sz val="12"/>
        <color theme="1"/>
        <rFont val="Times New Roman"/>
        <family val="1"/>
      </rPr>
      <t>C</t>
    </r>
    <r>
      <rPr>
        <sz val="12"/>
        <color theme="1"/>
        <rFont val="Times New Roman"/>
        <family val="2"/>
      </rPr>
      <t xml:space="preserve"> = 365.25/</t>
    </r>
    <r>
      <rPr>
        <sz val="12"/>
        <color theme="1"/>
        <rFont val="Times New Roman"/>
        <family val="1"/>
      </rPr>
      <t>π</t>
    </r>
    <r>
      <rPr>
        <sz val="12"/>
        <color theme="1"/>
        <rFont val="Times New Roman"/>
        <family val="2"/>
      </rPr>
      <t>)</t>
    </r>
  </si>
  <si>
    <r>
      <t>Remen (R = RC/</t>
    </r>
    <r>
      <rPr>
        <sz val="12"/>
        <color theme="1"/>
        <rFont val="Times New Roman"/>
        <family val="1"/>
      </rPr>
      <t>√2)</t>
    </r>
  </si>
  <si>
    <t>B" = Petrie's survey inch calibrated by the standard in Trafalgar Square London c. 1880</t>
  </si>
  <si>
    <t>X (B")</t>
  </si>
  <si>
    <t>Y (B")</t>
  </si>
  <si>
    <t>X"</t>
  </si>
  <si>
    <t>Y"</t>
  </si>
  <si>
    <t>X Difference</t>
  </si>
  <si>
    <t>Y Difference</t>
  </si>
  <si>
    <t>Face</t>
  </si>
  <si>
    <t>-5' 31"</t>
  </si>
  <si>
    <t>-6' 13"</t>
  </si>
  <si>
    <t>-5' 40"</t>
  </si>
  <si>
    <t>-4' 21"</t>
  </si>
  <si>
    <t>Petrie Measures</t>
  </si>
  <si>
    <r>
      <t>X</t>
    </r>
    <r>
      <rPr>
        <vertAlign val="subscript"/>
        <sz val="12"/>
        <color theme="1"/>
        <rFont val="Times New Roman"/>
        <family val="1"/>
      </rPr>
      <t>DIFF</t>
    </r>
  </si>
  <si>
    <r>
      <t>Y</t>
    </r>
    <r>
      <rPr>
        <vertAlign val="subscript"/>
        <sz val="12"/>
        <color theme="1"/>
        <rFont val="Times New Roman"/>
        <family val="1"/>
      </rPr>
      <t>DIFF</t>
    </r>
  </si>
  <si>
    <t>Length "</t>
  </si>
  <si>
    <t>16' 48"</t>
  </si>
  <si>
    <t>12' 23"</t>
  </si>
  <si>
    <t>12' 57"</t>
  </si>
  <si>
    <t>-3' 20"</t>
  </si>
  <si>
    <t>-3' 57"</t>
  </si>
  <si>
    <t>-3' 41"</t>
  </si>
  <si>
    <t>-3' 54"</t>
  </si>
  <si>
    <t>Initial Data</t>
  </si>
  <si>
    <t>Angle ' "</t>
  </si>
  <si>
    <t>J12-J15 ×</t>
  </si>
  <si>
    <r>
      <t>√(X</t>
    </r>
    <r>
      <rPr>
        <vertAlign val="subscript"/>
        <sz val="12"/>
        <color theme="1"/>
        <rFont val="Times New Roman"/>
        <family val="1"/>
      </rPr>
      <t>DIFF</t>
    </r>
    <r>
      <rPr>
        <vertAlign val="superscript"/>
        <sz val="12"/>
        <color theme="1"/>
        <rFont val="Times New Roman"/>
        <family val="1"/>
      </rPr>
      <t>2</t>
    </r>
    <r>
      <rPr>
        <sz val="12"/>
        <color theme="1"/>
        <rFont val="Times New Roman"/>
        <family val="1"/>
      </rPr>
      <t xml:space="preserve"> + 
Y</t>
    </r>
    <r>
      <rPr>
        <vertAlign val="subscript"/>
        <sz val="12"/>
        <color theme="1"/>
        <rFont val="Times New Roman"/>
        <family val="1"/>
      </rPr>
      <t>DIFF</t>
    </r>
    <r>
      <rPr>
        <vertAlign val="superscript"/>
        <sz val="12"/>
        <color theme="1"/>
        <rFont val="Times New Roman"/>
        <family val="1"/>
      </rPr>
      <t>2</t>
    </r>
    <r>
      <rPr>
        <sz val="12"/>
        <color theme="1"/>
        <rFont val="Times New Roman"/>
        <family val="1"/>
      </rPr>
      <t>)</t>
    </r>
  </si>
  <si>
    <r>
      <t>Y</t>
    </r>
    <r>
      <rPr>
        <vertAlign val="subscript"/>
        <sz val="12"/>
        <color theme="1"/>
        <rFont val="Times New Roman"/>
        <family val="1"/>
      </rPr>
      <t>1NW</t>
    </r>
    <r>
      <rPr>
        <sz val="12"/>
        <color theme="1"/>
        <rFont val="Times New Roman"/>
        <family val="1"/>
      </rPr>
      <t xml:space="preserve"> - Y</t>
    </r>
    <r>
      <rPr>
        <vertAlign val="subscript"/>
        <sz val="12"/>
        <color theme="1"/>
        <rFont val="Times New Roman"/>
        <family val="1"/>
      </rPr>
      <t>1NE</t>
    </r>
  </si>
  <si>
    <r>
      <t>X</t>
    </r>
    <r>
      <rPr>
        <vertAlign val="subscript"/>
        <sz val="12"/>
        <color theme="1"/>
        <rFont val="Times New Roman"/>
        <family val="1"/>
      </rPr>
      <t>1NE</t>
    </r>
    <r>
      <rPr>
        <sz val="12"/>
        <color theme="1"/>
        <rFont val="Times New Roman"/>
        <family val="1"/>
      </rPr>
      <t xml:space="preserve"> - X</t>
    </r>
    <r>
      <rPr>
        <vertAlign val="subscript"/>
        <sz val="12"/>
        <color theme="1"/>
        <rFont val="Times New Roman"/>
        <family val="1"/>
      </rPr>
      <t>1SE</t>
    </r>
  </si>
  <si>
    <r>
      <t>Y</t>
    </r>
    <r>
      <rPr>
        <vertAlign val="subscript"/>
        <sz val="12"/>
        <color theme="1"/>
        <rFont val="Times New Roman"/>
        <family val="1"/>
      </rPr>
      <t>1NE</t>
    </r>
    <r>
      <rPr>
        <sz val="12"/>
        <color theme="1"/>
        <rFont val="Times New Roman"/>
        <family val="1"/>
      </rPr>
      <t xml:space="preserve"> - Y</t>
    </r>
    <r>
      <rPr>
        <vertAlign val="subscript"/>
        <sz val="12"/>
        <color theme="1"/>
        <rFont val="Times New Roman"/>
        <family val="1"/>
      </rPr>
      <t>1SE</t>
    </r>
  </si>
  <si>
    <r>
      <t>X</t>
    </r>
    <r>
      <rPr>
        <vertAlign val="subscript"/>
        <sz val="12"/>
        <color theme="1"/>
        <rFont val="Times New Roman"/>
        <family val="1"/>
      </rPr>
      <t>1SE</t>
    </r>
    <r>
      <rPr>
        <sz val="12"/>
        <color theme="1"/>
        <rFont val="Times New Roman"/>
        <family val="1"/>
      </rPr>
      <t xml:space="preserve"> - X</t>
    </r>
    <r>
      <rPr>
        <vertAlign val="subscript"/>
        <sz val="12"/>
        <color theme="1"/>
        <rFont val="Times New Roman"/>
        <family val="1"/>
      </rPr>
      <t>1SW</t>
    </r>
  </si>
  <si>
    <r>
      <t>Y</t>
    </r>
    <r>
      <rPr>
        <vertAlign val="subscript"/>
        <sz val="12"/>
        <color theme="1"/>
        <rFont val="Times New Roman"/>
        <family val="1"/>
      </rPr>
      <t>2NW</t>
    </r>
    <r>
      <rPr>
        <sz val="12"/>
        <color theme="1"/>
        <rFont val="Times New Roman"/>
        <family val="1"/>
      </rPr>
      <t xml:space="preserve"> - Y</t>
    </r>
    <r>
      <rPr>
        <vertAlign val="subscript"/>
        <sz val="12"/>
        <color theme="1"/>
        <rFont val="Times New Roman"/>
        <family val="1"/>
      </rPr>
      <t>2NE</t>
    </r>
  </si>
  <si>
    <r>
      <t>X</t>
    </r>
    <r>
      <rPr>
        <vertAlign val="subscript"/>
        <sz val="12"/>
        <color theme="1"/>
        <rFont val="Times New Roman"/>
        <family val="1"/>
      </rPr>
      <t>2NE</t>
    </r>
    <r>
      <rPr>
        <sz val="12"/>
        <color theme="1"/>
        <rFont val="Times New Roman"/>
        <family val="1"/>
      </rPr>
      <t xml:space="preserve"> - X</t>
    </r>
    <r>
      <rPr>
        <vertAlign val="subscript"/>
        <sz val="12"/>
        <color theme="1"/>
        <rFont val="Times New Roman"/>
        <family val="1"/>
      </rPr>
      <t>2SE</t>
    </r>
  </si>
  <si>
    <r>
      <t>Y</t>
    </r>
    <r>
      <rPr>
        <vertAlign val="subscript"/>
        <sz val="12"/>
        <color theme="1"/>
        <rFont val="Times New Roman"/>
        <family val="1"/>
      </rPr>
      <t>2NE</t>
    </r>
    <r>
      <rPr>
        <sz val="12"/>
        <color theme="1"/>
        <rFont val="Times New Roman"/>
        <family val="1"/>
      </rPr>
      <t xml:space="preserve"> - Y</t>
    </r>
    <r>
      <rPr>
        <vertAlign val="subscript"/>
        <sz val="12"/>
        <color theme="1"/>
        <rFont val="Times New Roman"/>
        <family val="1"/>
      </rPr>
      <t>2SE</t>
    </r>
  </si>
  <si>
    <r>
      <t>X</t>
    </r>
    <r>
      <rPr>
        <vertAlign val="subscript"/>
        <sz val="12"/>
        <color theme="1"/>
        <rFont val="Times New Roman"/>
        <family val="1"/>
      </rPr>
      <t>2SE</t>
    </r>
    <r>
      <rPr>
        <sz val="12"/>
        <color theme="1"/>
        <rFont val="Times New Roman"/>
        <family val="1"/>
      </rPr>
      <t xml:space="preserve"> - X</t>
    </r>
    <r>
      <rPr>
        <vertAlign val="subscript"/>
        <sz val="12"/>
        <color theme="1"/>
        <rFont val="Times New Roman"/>
        <family val="1"/>
      </rPr>
      <t>2SW</t>
    </r>
  </si>
  <si>
    <r>
      <t>Y</t>
    </r>
    <r>
      <rPr>
        <vertAlign val="subscript"/>
        <sz val="12"/>
        <color theme="1"/>
        <rFont val="Times New Roman"/>
        <family val="1"/>
      </rPr>
      <t>3NW</t>
    </r>
    <r>
      <rPr>
        <sz val="12"/>
        <color theme="1"/>
        <rFont val="Times New Roman"/>
        <family val="1"/>
      </rPr>
      <t xml:space="preserve"> - Y</t>
    </r>
    <r>
      <rPr>
        <vertAlign val="subscript"/>
        <sz val="12"/>
        <color theme="1"/>
        <rFont val="Times New Roman"/>
        <family val="1"/>
      </rPr>
      <t>3NE</t>
    </r>
  </si>
  <si>
    <r>
      <t>X</t>
    </r>
    <r>
      <rPr>
        <vertAlign val="subscript"/>
        <sz val="12"/>
        <color theme="1"/>
        <rFont val="Times New Roman"/>
        <family val="1"/>
      </rPr>
      <t>3NE</t>
    </r>
    <r>
      <rPr>
        <sz val="12"/>
        <color theme="1"/>
        <rFont val="Times New Roman"/>
        <family val="1"/>
      </rPr>
      <t xml:space="preserve"> - X</t>
    </r>
    <r>
      <rPr>
        <vertAlign val="subscript"/>
        <sz val="12"/>
        <color theme="1"/>
        <rFont val="Times New Roman"/>
        <family val="1"/>
      </rPr>
      <t>3SE</t>
    </r>
  </si>
  <si>
    <r>
      <t>Y</t>
    </r>
    <r>
      <rPr>
        <vertAlign val="subscript"/>
        <sz val="12"/>
        <color theme="1"/>
        <rFont val="Times New Roman"/>
        <family val="1"/>
      </rPr>
      <t>3NE</t>
    </r>
    <r>
      <rPr>
        <sz val="12"/>
        <color theme="1"/>
        <rFont val="Times New Roman"/>
        <family val="1"/>
      </rPr>
      <t xml:space="preserve"> - Y</t>
    </r>
    <r>
      <rPr>
        <vertAlign val="subscript"/>
        <sz val="12"/>
        <color theme="1"/>
        <rFont val="Times New Roman"/>
        <family val="1"/>
      </rPr>
      <t>3SE</t>
    </r>
  </si>
  <si>
    <r>
      <t>X</t>
    </r>
    <r>
      <rPr>
        <vertAlign val="subscript"/>
        <sz val="12"/>
        <color theme="1"/>
        <rFont val="Times New Roman"/>
        <family val="1"/>
      </rPr>
      <t>3SE</t>
    </r>
    <r>
      <rPr>
        <sz val="12"/>
        <color theme="1"/>
        <rFont val="Times New Roman"/>
        <family val="1"/>
      </rPr>
      <t xml:space="preserve"> - X</t>
    </r>
    <r>
      <rPr>
        <vertAlign val="subscript"/>
        <sz val="12"/>
        <color theme="1"/>
        <rFont val="Times New Roman"/>
        <family val="1"/>
      </rPr>
      <t>3SW</t>
    </r>
  </si>
  <si>
    <t>Correction?</t>
  </si>
  <si>
    <t>GPTN in B"</t>
  </si>
  <si>
    <t>Convert to Polar Coordinates</t>
  </si>
  <si>
    <t>Giza Plateau True North (TN) Coordinates Survey Units</t>
  </si>
  <si>
    <r>
      <t>ϴ</t>
    </r>
    <r>
      <rPr>
        <b/>
        <vertAlign val="subscript"/>
        <sz val="12"/>
        <rFont val="Times New Roman"/>
        <family val="1"/>
      </rPr>
      <t>S</t>
    </r>
    <r>
      <rPr>
        <b/>
        <sz val="12"/>
        <rFont val="Times New Roman"/>
        <family val="1"/>
      </rPr>
      <t xml:space="preserve"> = 
tan</t>
    </r>
    <r>
      <rPr>
        <b/>
        <vertAlign val="superscript"/>
        <sz val="12"/>
        <rFont val="Times New Roman"/>
        <family val="1"/>
      </rPr>
      <t>-1</t>
    </r>
    <r>
      <rPr>
        <b/>
        <sz val="12"/>
        <rFont val="Times New Roman"/>
        <family val="1"/>
      </rPr>
      <t>(E/N) °</t>
    </r>
  </si>
  <si>
    <t>X (Survey Units)</t>
  </si>
  <si>
    <t>Y (Survey Units)</t>
  </si>
  <si>
    <t>Pyramid Internal Feature</t>
  </si>
  <si>
    <t>"Length" refers to a NS dimension</t>
  </si>
  <si>
    <t>"Height" refers to a vertical dimension</t>
  </si>
  <si>
    <t>"Depth" refers to an EW dimension</t>
  </si>
  <si>
    <t>From
East</t>
  </si>
  <si>
    <t>Passage Offset from Pyramid centerline to East</t>
  </si>
  <si>
    <t>Convert to B"</t>
  </si>
  <si>
    <t>Convert Back to Cartesian Coords Relative to True North</t>
  </si>
  <si>
    <t>Theoretical
Dimension B"</t>
  </si>
  <si>
    <t>Measured
Dimension B"</t>
  </si>
  <si>
    <t>Diff
B"</t>
  </si>
  <si>
    <r>
      <t xml:space="preserve">Number of planes in Queen's Chamber (1 floor, 4 walls and 2 roofs) </t>
    </r>
    <r>
      <rPr>
        <sz val="12"/>
        <color theme="1"/>
        <rFont val="Times New Roman"/>
        <family val="1"/>
      </rPr>
      <t>×</t>
    </r>
    <r>
      <rPr>
        <sz val="12"/>
        <color theme="1"/>
        <rFont val="Times New Roman"/>
        <family val="2"/>
      </rPr>
      <t xml:space="preserve"> depth in RC</t>
    </r>
    <r>
      <rPr>
        <sz val="12"/>
        <color theme="1"/>
        <rFont val="Times New Roman"/>
        <family val="2"/>
      </rPr>
      <t xml:space="preserve"> = 7 × 11</t>
    </r>
  </si>
  <si>
    <t>SW to NE diagonal</t>
  </si>
  <si>
    <t>SE to NW diagonal</t>
  </si>
  <si>
    <t>y=mx + c</t>
  </si>
  <si>
    <t>m</t>
  </si>
  <si>
    <t>c</t>
  </si>
  <si>
    <t>Petrie Section (Pxx)
Pyramid 1 = (P21)
Pyramid 2 = (P66)
Pyramid 3 = (P80)</t>
  </si>
  <si>
    <t>Test m &amp; c for y</t>
  </si>
  <si>
    <t>a</t>
  </si>
  <si>
    <t>r</t>
  </si>
  <si>
    <t>b</t>
  </si>
  <si>
    <t>d</t>
  </si>
  <si>
    <t>e</t>
  </si>
  <si>
    <t>f</t>
  </si>
  <si>
    <t>g</t>
  </si>
  <si>
    <t>h</t>
  </si>
  <si>
    <t>j</t>
  </si>
  <si>
    <t>k</t>
  </si>
  <si>
    <t>l</t>
  </si>
  <si>
    <t>n</t>
  </si>
  <si>
    <t>p</t>
  </si>
  <si>
    <t>q</t>
  </si>
  <si>
    <t>s</t>
  </si>
  <si>
    <t>t</t>
  </si>
  <si>
    <t>u</t>
  </si>
  <si>
    <r>
      <t xml:space="preserve">Verify </t>
    </r>
    <r>
      <rPr>
        <b/>
        <sz val="12"/>
        <color rgb="FF00FF00"/>
        <rFont val="Times New Roman"/>
        <family val="1"/>
      </rPr>
      <t>r = r</t>
    </r>
    <r>
      <rPr>
        <b/>
        <vertAlign val="subscript"/>
        <sz val="12"/>
        <color rgb="FF00FF00"/>
        <rFont val="Times New Roman"/>
        <family val="1"/>
      </rPr>
      <t>S</t>
    </r>
    <r>
      <rPr>
        <b/>
        <sz val="12"/>
        <rFont val="Times New Roman"/>
        <family val="1"/>
      </rPr>
      <t xml:space="preserve">
√(X^2+Y^2)</t>
    </r>
  </si>
  <si>
    <t>Vertical SW G1 to NE G2</t>
  </si>
  <si>
    <t>Horizontal SW G1 to NE G2</t>
  </si>
  <si>
    <t>Horizontal SW G2 to NE G3</t>
  </si>
  <si>
    <t>Vertical SW G2 to NE G3</t>
  </si>
  <si>
    <t>Horizontal SW G1 to NE G3</t>
  </si>
  <si>
    <t>Vertical SW G1 to NE G3</t>
  </si>
  <si>
    <r>
      <t>Royal Cubit* (RC = Y</t>
    </r>
    <r>
      <rPr>
        <vertAlign val="subscript"/>
        <sz val="12"/>
        <color theme="1"/>
        <rFont val="Times New Roman"/>
        <family val="1"/>
      </rPr>
      <t>S</t>
    </r>
    <r>
      <rPr>
        <sz val="12"/>
        <color theme="1"/>
        <rFont val="Times New Roman"/>
        <family val="2"/>
      </rPr>
      <t>/5</t>
    </r>
    <r>
      <rPr>
        <sz val="12"/>
        <color theme="1"/>
        <rFont val="Times New Roman"/>
        <family val="1"/>
      </rPr>
      <t>)</t>
    </r>
    <r>
      <rPr>
        <sz val="12"/>
        <color theme="1"/>
        <rFont val="Times New Roman"/>
        <family val="2"/>
      </rPr>
      <t xml:space="preserve"> (Based on top course of KC walls with 7 v 28 gaps in 1st course)</t>
    </r>
  </si>
  <si>
    <t>* RC value only deemed applicable to inside of Great Pyramid</t>
  </si>
  <si>
    <r>
      <t xml:space="preserve">Ys/5 × 11 or RC </t>
    </r>
    <r>
      <rPr>
        <sz val="12"/>
        <color theme="1"/>
        <rFont val="Times New Roman"/>
        <family val="1"/>
      </rPr>
      <t>×</t>
    </r>
    <r>
      <rPr>
        <sz val="12"/>
        <color theme="1"/>
        <rFont val="Times New Roman"/>
        <family val="2"/>
      </rPr>
      <t xml:space="preserve"> 11</t>
    </r>
  </si>
  <si>
    <t>Horizontal NE G1 to SW G3</t>
  </si>
  <si>
    <t>Vertical NE G1 to SW G3</t>
  </si>
  <si>
    <t>Divisors</t>
  </si>
  <si>
    <t>√2</t>
  </si>
  <si>
    <t>√3</t>
  </si>
  <si>
    <t>Horizontal G2 Center to G3 Center</t>
  </si>
  <si>
    <t>Vertical G2 Center to G3 Center</t>
  </si>
  <si>
    <t>Horizontal G1 Center to G2 Center</t>
  </si>
  <si>
    <t>Vertical G1 Center to G2 Center</t>
  </si>
  <si>
    <t>Horizontal G1 Center to G3 Center</t>
  </si>
  <si>
    <t>Vertical G1 Center to G3 Center</t>
  </si>
  <si>
    <t>Coords</t>
  </si>
  <si>
    <t>X, Y</t>
  </si>
  <si>
    <t>Year (Yr.)</t>
  </si>
  <si>
    <t>From (P18) the Value of Petrie's Survey Unit ± 0.00000003" equals</t>
  </si>
  <si>
    <t>From (P18) the Azimuth of Survey System is 1° 12' 22" W of true N ± 6" °</t>
  </si>
  <si>
    <t>Min</t>
  </si>
  <si>
    <t>Max</t>
  </si>
  <si>
    <t>Petrie Center</t>
  </si>
  <si>
    <t>√π</t>
  </si>
  <si>
    <t>RC</t>
  </si>
  <si>
    <r>
      <t>RC</t>
    </r>
    <r>
      <rPr>
        <vertAlign val="subscript"/>
        <sz val="12"/>
        <color theme="1"/>
        <rFont val="Times New Roman"/>
        <family val="1"/>
      </rPr>
      <t>KC</t>
    </r>
  </si>
  <si>
    <t>Arc Length 6 (ACL6) divided by 4 (See Pyramid Paper 4)</t>
  </si>
  <si>
    <t>The data in this worksheet are the result of reverse engineering the internal dimensions of the Great Pyramid using Petrie's Inductive Metrology or derivatives thereof.</t>
  </si>
  <si>
    <t>HR</t>
  </si>
  <si>
    <t>WC</t>
  </si>
  <si>
    <t>(g-k)y</t>
  </si>
  <si>
    <t>(g-k)x</t>
  </si>
  <si>
    <t>ST</t>
  </si>
  <si>
    <t>SC</t>
  </si>
  <si>
    <t>BX</t>
  </si>
  <si>
    <t>GZ</t>
  </si>
  <si>
    <t>NM</t>
  </si>
  <si>
    <t>NL</t>
  </si>
  <si>
    <t>NK</t>
  </si>
  <si>
    <t>(m-q)x</t>
  </si>
  <si>
    <t>(m-q)y</t>
  </si>
  <si>
    <t>(g-q)x</t>
  </si>
  <si>
    <t>(g-q)y</t>
  </si>
  <si>
    <t>(e-s)x</t>
  </si>
  <si>
    <t>(e-s)y</t>
  </si>
  <si>
    <t>(j-p)x</t>
  </si>
  <si>
    <t>(j-p)y</t>
  </si>
  <si>
    <t>(j-u)x</t>
  </si>
  <si>
    <t>(j-u)y</t>
  </si>
  <si>
    <t>(p-u)x</t>
  </si>
  <si>
    <t>(p-u)y</t>
  </si>
  <si>
    <t>TC</t>
  </si>
  <si>
    <t>Distance between the N. Base of Khufu and the S. Base of Menkaure:</t>
  </si>
  <si>
    <t>Distance between the S. Base of Khafre and the S. base of Menkaure:</t>
  </si>
  <si>
    <t>Distance between the S. Base of Khufu and the N Base of Khafre:</t>
  </si>
  <si>
    <t>Distance between the S. Base of Khafre and the N. Base of Menkaure:</t>
  </si>
  <si>
    <t>Distance between the W. side of Khufu and the W. side of Khafre:</t>
  </si>
  <si>
    <t>Distance between the W. side of Khafre and the W. side of Menkaure:</t>
  </si>
  <si>
    <t>Distance between Khufu N. Base and Khafre S. Base:</t>
  </si>
  <si>
    <t>Distance between the E. side of Khufu and the W. side of Menkaure:</t>
  </si>
  <si>
    <t>Distance between the W. side of Khufu and the E. side of Khafre:</t>
  </si>
  <si>
    <t xml:space="preserve">Distance between the W. side of Khafre and the E. side of Menkaure: </t>
  </si>
  <si>
    <t>(h-m)y</t>
  </si>
  <si>
    <t>(m-s)y</t>
  </si>
  <si>
    <t>(h-s)y</t>
  </si>
  <si>
    <t>(g-n)x</t>
  </si>
  <si>
    <t>(m-s)x</t>
  </si>
  <si>
    <t>Cooper (")</t>
  </si>
  <si>
    <t>Diff. (")</t>
  </si>
  <si>
    <t>Diff. (%)</t>
  </si>
  <si>
    <t>Verhart "The Mathematical Layout of the Giza Plateau" p.4 (")</t>
  </si>
  <si>
    <r>
      <t>X</t>
    </r>
    <r>
      <rPr>
        <vertAlign val="subscript"/>
        <sz val="12"/>
        <color theme="1"/>
        <rFont val="Times New Roman"/>
        <family val="1"/>
      </rPr>
      <t>1NE</t>
    </r>
    <r>
      <rPr>
        <sz val="12"/>
        <color theme="1"/>
        <rFont val="Times New Roman"/>
        <family val="1"/>
      </rPr>
      <t xml:space="preserve"> - X</t>
    </r>
    <r>
      <rPr>
        <vertAlign val="subscript"/>
        <sz val="12"/>
        <color theme="1"/>
        <rFont val="Times New Roman"/>
        <family val="1"/>
      </rPr>
      <t>1NW</t>
    </r>
  </si>
  <si>
    <r>
      <t>Y</t>
    </r>
    <r>
      <rPr>
        <vertAlign val="subscript"/>
        <sz val="12"/>
        <color theme="1"/>
        <rFont val="Times New Roman"/>
        <family val="1"/>
      </rPr>
      <t>1SW</t>
    </r>
    <r>
      <rPr>
        <sz val="12"/>
        <color theme="1"/>
        <rFont val="Times New Roman"/>
        <family val="1"/>
      </rPr>
      <t xml:space="preserve"> - Y</t>
    </r>
    <r>
      <rPr>
        <vertAlign val="subscript"/>
        <sz val="12"/>
        <color theme="1"/>
        <rFont val="Times New Roman"/>
        <family val="1"/>
      </rPr>
      <t>1SE</t>
    </r>
  </si>
  <si>
    <r>
      <t>Y</t>
    </r>
    <r>
      <rPr>
        <vertAlign val="subscript"/>
        <sz val="12"/>
        <color theme="1"/>
        <rFont val="Times New Roman"/>
        <family val="1"/>
      </rPr>
      <t>1NW</t>
    </r>
    <r>
      <rPr>
        <sz val="12"/>
        <color theme="1"/>
        <rFont val="Times New Roman"/>
        <family val="1"/>
      </rPr>
      <t xml:space="preserve"> - Y</t>
    </r>
    <r>
      <rPr>
        <vertAlign val="subscript"/>
        <sz val="12"/>
        <color theme="1"/>
        <rFont val="Times New Roman"/>
        <family val="1"/>
      </rPr>
      <t>1SW</t>
    </r>
  </si>
  <si>
    <r>
      <t>Y</t>
    </r>
    <r>
      <rPr>
        <vertAlign val="subscript"/>
        <sz val="12"/>
        <color theme="1"/>
        <rFont val="Times New Roman"/>
        <family val="1"/>
      </rPr>
      <t>2SW</t>
    </r>
    <r>
      <rPr>
        <sz val="12"/>
        <color theme="1"/>
        <rFont val="Times New Roman"/>
        <family val="1"/>
      </rPr>
      <t xml:space="preserve"> - Y</t>
    </r>
    <r>
      <rPr>
        <vertAlign val="subscript"/>
        <sz val="12"/>
        <color theme="1"/>
        <rFont val="Times New Roman"/>
        <family val="1"/>
      </rPr>
      <t>2SE</t>
    </r>
  </si>
  <si>
    <r>
      <t>Y</t>
    </r>
    <r>
      <rPr>
        <vertAlign val="subscript"/>
        <sz val="12"/>
        <color theme="1"/>
        <rFont val="Times New Roman"/>
        <family val="1"/>
      </rPr>
      <t>2NW</t>
    </r>
    <r>
      <rPr>
        <sz val="12"/>
        <color theme="1"/>
        <rFont val="Times New Roman"/>
        <family val="1"/>
      </rPr>
      <t xml:space="preserve"> - Y</t>
    </r>
    <r>
      <rPr>
        <vertAlign val="subscript"/>
        <sz val="12"/>
        <color theme="1"/>
        <rFont val="Times New Roman"/>
        <family val="1"/>
      </rPr>
      <t>2SW</t>
    </r>
  </si>
  <si>
    <r>
      <t>X</t>
    </r>
    <r>
      <rPr>
        <vertAlign val="subscript"/>
        <sz val="12"/>
        <color theme="1"/>
        <rFont val="Times New Roman"/>
        <family val="1"/>
      </rPr>
      <t>2NE</t>
    </r>
    <r>
      <rPr>
        <sz val="12"/>
        <color theme="1"/>
        <rFont val="Times New Roman"/>
        <family val="1"/>
      </rPr>
      <t xml:space="preserve"> - X</t>
    </r>
    <r>
      <rPr>
        <vertAlign val="subscript"/>
        <sz val="12"/>
        <color theme="1"/>
        <rFont val="Times New Roman"/>
        <family val="1"/>
      </rPr>
      <t>2NW</t>
    </r>
  </si>
  <si>
    <r>
      <t>X</t>
    </r>
    <r>
      <rPr>
        <vertAlign val="subscript"/>
        <sz val="12"/>
        <color theme="1"/>
        <rFont val="Times New Roman"/>
        <family val="1"/>
      </rPr>
      <t>1NW</t>
    </r>
    <r>
      <rPr>
        <sz val="12"/>
        <color theme="1"/>
        <rFont val="Times New Roman"/>
        <family val="1"/>
      </rPr>
      <t xml:space="preserve"> - X</t>
    </r>
    <r>
      <rPr>
        <vertAlign val="subscript"/>
        <sz val="12"/>
        <color theme="1"/>
        <rFont val="Times New Roman"/>
        <family val="1"/>
      </rPr>
      <t>1SW</t>
    </r>
  </si>
  <si>
    <r>
      <t>X</t>
    </r>
    <r>
      <rPr>
        <vertAlign val="subscript"/>
        <sz val="12"/>
        <color theme="1"/>
        <rFont val="Times New Roman"/>
        <family val="1"/>
      </rPr>
      <t>2NW</t>
    </r>
    <r>
      <rPr>
        <sz val="12"/>
        <color theme="1"/>
        <rFont val="Times New Roman"/>
        <family val="1"/>
      </rPr>
      <t xml:space="preserve"> - X</t>
    </r>
    <r>
      <rPr>
        <vertAlign val="subscript"/>
        <sz val="12"/>
        <color theme="1"/>
        <rFont val="Times New Roman"/>
        <family val="1"/>
      </rPr>
      <t>2SW</t>
    </r>
  </si>
  <si>
    <r>
      <t>X</t>
    </r>
    <r>
      <rPr>
        <vertAlign val="subscript"/>
        <sz val="12"/>
        <color theme="1"/>
        <rFont val="Times New Roman"/>
        <family val="1"/>
      </rPr>
      <t>3NE</t>
    </r>
    <r>
      <rPr>
        <sz val="12"/>
        <color theme="1"/>
        <rFont val="Times New Roman"/>
        <family val="1"/>
      </rPr>
      <t xml:space="preserve"> - X</t>
    </r>
    <r>
      <rPr>
        <vertAlign val="subscript"/>
        <sz val="12"/>
        <color theme="1"/>
        <rFont val="Times New Roman"/>
        <family val="1"/>
      </rPr>
      <t>3NW</t>
    </r>
  </si>
  <si>
    <r>
      <t>X</t>
    </r>
    <r>
      <rPr>
        <vertAlign val="subscript"/>
        <sz val="12"/>
        <color theme="1"/>
        <rFont val="Times New Roman"/>
        <family val="1"/>
      </rPr>
      <t>3NW</t>
    </r>
    <r>
      <rPr>
        <sz val="12"/>
        <color theme="1"/>
        <rFont val="Times New Roman"/>
        <family val="1"/>
      </rPr>
      <t xml:space="preserve"> - X</t>
    </r>
    <r>
      <rPr>
        <vertAlign val="subscript"/>
        <sz val="12"/>
        <color theme="1"/>
        <rFont val="Times New Roman"/>
        <family val="1"/>
      </rPr>
      <t>3SW</t>
    </r>
  </si>
  <si>
    <r>
      <t>Y</t>
    </r>
    <r>
      <rPr>
        <vertAlign val="subscript"/>
        <sz val="12"/>
        <color theme="1"/>
        <rFont val="Times New Roman"/>
        <family val="1"/>
      </rPr>
      <t>3SW</t>
    </r>
    <r>
      <rPr>
        <sz val="12"/>
        <color theme="1"/>
        <rFont val="Times New Roman"/>
        <family val="1"/>
      </rPr>
      <t xml:space="preserve"> - Y</t>
    </r>
    <r>
      <rPr>
        <vertAlign val="subscript"/>
        <sz val="12"/>
        <color theme="1"/>
        <rFont val="Times New Roman"/>
        <family val="1"/>
      </rPr>
      <t>3SE</t>
    </r>
  </si>
  <si>
    <r>
      <t>Y</t>
    </r>
    <r>
      <rPr>
        <vertAlign val="subscript"/>
        <sz val="12"/>
        <color theme="1"/>
        <rFont val="Times New Roman"/>
        <family val="1"/>
      </rPr>
      <t>3NW</t>
    </r>
    <r>
      <rPr>
        <sz val="12"/>
        <color theme="1"/>
        <rFont val="Times New Roman"/>
        <family val="1"/>
      </rPr>
      <t xml:space="preserve"> - Y</t>
    </r>
    <r>
      <rPr>
        <vertAlign val="subscript"/>
        <sz val="12"/>
        <color theme="1"/>
        <rFont val="Times New Roman"/>
        <family val="1"/>
      </rPr>
      <t>3SW</t>
    </r>
  </si>
  <si>
    <t>x = SE &amp; SW Corners</t>
  </si>
  <si>
    <t>Center</t>
  </si>
  <si>
    <t>Diff.</t>
  </si>
  <si>
    <t>G1 to G2</t>
  </si>
  <si>
    <t>G2 to G3</t>
  </si>
  <si>
    <t>G1 to G3</t>
  </si>
  <si>
    <t>NW to NE</t>
  </si>
  <si>
    <t>Length</t>
  </si>
  <si>
    <t>NE to SE</t>
  </si>
  <si>
    <t>SE to SW</t>
  </si>
  <si>
    <t>SW to NW</t>
  </si>
  <si>
    <t>P20</t>
  </si>
  <si>
    <t>Diff</t>
  </si>
  <si>
    <t>Calc "</t>
  </si>
  <si>
    <t>Petrie Value</t>
  </si>
  <si>
    <t>Northing</t>
  </si>
  <si>
    <t>Easting</t>
  </si>
  <si>
    <t>SUMMARY OUTPUT</t>
  </si>
  <si>
    <t>Regression Statistics</t>
  </si>
  <si>
    <t>Multiple R</t>
  </si>
  <si>
    <t>R Square</t>
  </si>
  <si>
    <t>Adjusted R Square</t>
  </si>
  <si>
    <t>Standard Error</t>
  </si>
  <si>
    <t>Observations</t>
  </si>
  <si>
    <t>ANOVA</t>
  </si>
  <si>
    <t>Regression</t>
  </si>
  <si>
    <t>Residual</t>
  </si>
  <si>
    <t>Total</t>
  </si>
  <si>
    <t>Intercept</t>
  </si>
  <si>
    <t>df</t>
  </si>
  <si>
    <t>SS</t>
  </si>
  <si>
    <t>MS</t>
  </si>
  <si>
    <t>Significance F</t>
  </si>
  <si>
    <t>Coefficients</t>
  </si>
  <si>
    <t>t Stat</t>
  </si>
  <si>
    <t>P-value</t>
  </si>
  <si>
    <t>Lower 95%</t>
  </si>
  <si>
    <t>Upper 95%</t>
  </si>
  <si>
    <t>Lower 95.0%</t>
  </si>
  <si>
    <t>Upper 95.0%</t>
  </si>
  <si>
    <t xml:space="preserve">Easting </t>
  </si>
  <si>
    <t xml:space="preserve"> Northing </t>
  </si>
  <si>
    <t xml:space="preserve">Northing </t>
  </si>
  <si>
    <t xml:space="preserve">Adjusted Northing </t>
  </si>
  <si>
    <t>How to Use the Data Analysis Toolpak in Excel - 13 Features</t>
  </si>
  <si>
    <t>https://statisticsbyjim.com/regression/regression-analysis-excel/</t>
  </si>
  <si>
    <t>THE 2015 SURVEY OF THE BASE OF THE GREAT PYRAMID By GLEN DASH and JOEL PAULSON</t>
  </si>
  <si>
    <t>THE 2015 SURVEY OF THE BASE OF THE GREAT PYRAMID</t>
  </si>
  <si>
    <t>By Glen Dash and Joel Paulson</t>
  </si>
  <si>
    <t xml:space="preserve">Microsoft® Excel® for Microsoft 365 MSO (Version 2407 Build 16.0.17830.20056) 64-bit </t>
  </si>
  <si>
    <t>https://www.academia.edu/36742756/The_2015_Survey_of_the_Base_of_the_Great_Pyramid</t>
  </si>
  <si>
    <t>A Supplement to THE 2015 SURVEY OF THE BASE OF THE GREAT PYRAMID</t>
  </si>
  <si>
    <t>http://www.dashfoundation.org/GDFS2015-coordinates-casing.pdf</t>
  </si>
  <si>
    <t>North Side</t>
  </si>
  <si>
    <t>Dash</t>
  </si>
  <si>
    <t>Cooper</t>
  </si>
  <si>
    <t>West Side</t>
  </si>
  <si>
    <t>East Side</t>
  </si>
  <si>
    <t>South Side</t>
  </si>
  <si>
    <t>Elevation (m asl)</t>
  </si>
  <si>
    <t>Platform Elevations (m asl)</t>
  </si>
  <si>
    <t>Northing Correction (m)</t>
  </si>
  <si>
    <t>Adjusted Northing</t>
  </si>
  <si>
    <t>Casing Height (m)</t>
  </si>
  <si>
    <t>Corner</t>
  </si>
  <si>
    <t>NE</t>
  </si>
  <si>
    <t>SE</t>
  </si>
  <si>
    <t>SW</t>
  </si>
  <si>
    <t>NW</t>
  </si>
  <si>
    <t>Side</t>
  </si>
  <si>
    <t>Length (M)</t>
  </si>
  <si>
    <t>Length (")</t>
  </si>
  <si>
    <t>Orientation</t>
  </si>
  <si>
    <t>Average</t>
  </si>
  <si>
    <t>Equation for Side</t>
  </si>
  <si>
    <t>Slope</t>
  </si>
  <si>
    <t>North</t>
  </si>
  <si>
    <t>East</t>
  </si>
  <si>
    <t>South</t>
  </si>
  <si>
    <t>West</t>
  </si>
  <si>
    <t>* Easting +</t>
  </si>
  <si>
    <t>* Northing +</t>
  </si>
  <si>
    <t>Difference In
Adjusted
Northings (m)</t>
  </si>
  <si>
    <t>Adjusted Northing (m)
Northing - delta Northing</t>
  </si>
  <si>
    <t>Delta
Northing (m)
11/14 × (Elevation - Platform Elevation)</t>
  </si>
  <si>
    <t>Using Excel Function</t>
  </si>
  <si>
    <t>North        Northing =</t>
  </si>
  <si>
    <t>East       Easting =</t>
  </si>
  <si>
    <t>South       Northing =</t>
  </si>
  <si>
    <t>West       Easting =</t>
  </si>
  <si>
    <t>https://www.academia.edu/32879091/Where_Precisely_are_the_Three_Pyramids_of_Giza</t>
  </si>
  <si>
    <t>Where, Precisely, are the Three Pyramids of Giza? Glen Dash</t>
  </si>
  <si>
    <t>https://support.microsoft.com/en-us/office/linest-function-84d7d0d9-6e50-4101-977a-fa7abf772b6d</t>
  </si>
  <si>
    <t>Simulating Excel LINEST Function</t>
  </si>
  <si>
    <t>Check Dash Calculations</t>
  </si>
  <si>
    <t>Average of Eastings</t>
  </si>
  <si>
    <t>Average of Northings</t>
  </si>
  <si>
    <t>RSS</t>
  </si>
  <si>
    <t>Using Excel LINEST Function</t>
  </si>
  <si>
    <t>Cooper Method</t>
  </si>
  <si>
    <t>Northing
(m)</t>
  </si>
  <si>
    <t>Easting
(m)</t>
  </si>
  <si>
    <t>Dash Method</t>
  </si>
  <si>
    <t>Convert Petrie Coordinates to GPMP</t>
  </si>
  <si>
    <t>Petrie's Survey Data, Coordinates rotated to due north and Imperial Inches</t>
  </si>
  <si>
    <t>Columns A through D are copied from Petrie's Table of Co-ordinates of Marked Stations, pp 35-36 of "The Pyramids and Temples of Gizeh".</t>
  </si>
  <si>
    <t>Columns E and F format the Cartesian coordinates in columns C and D so that Excel can use them.</t>
  </si>
  <si>
    <t>Columns G and H convert the Cartesian coordinates to Polar. This is a precursor to correcting the coordinates for the angle of Petrie's coordinate system azimuth, which is 1° 12' 22" W of true N ± 6", but preferably they should be 0°.</t>
  </si>
  <si>
    <t>Column I subtracts Petrie's coordinate system azimuth and rotates the coordinates to the third quadrant.</t>
  </si>
  <si>
    <t>Columns J and K convert the coordinates back to cartesian.</t>
  </si>
  <si>
    <t xml:space="preserve">Column L is a check to make sure that the equations used for the conversions to and from polar coordinates result in the same distance from the origin of the new coordinate system as they were from Petrie's origin. </t>
  </si>
  <si>
    <r>
      <t xml:space="preserve">The length Green indicates that they are. The "N.E. corner 2nd Pyramid" is the only result that differs but this is an Excel resolution issue since, as shown, </t>
    </r>
    <r>
      <rPr>
        <b/>
        <sz val="12"/>
        <color rgb="FF00FF00"/>
        <rFont val="Times New Roman"/>
        <family val="1"/>
      </rPr>
      <t>r = r</t>
    </r>
    <r>
      <rPr>
        <b/>
        <vertAlign val="subscript"/>
        <sz val="12"/>
        <color rgb="FF00FF00"/>
        <rFont val="Times New Roman"/>
        <family val="1"/>
      </rPr>
      <t>S</t>
    </r>
    <r>
      <rPr>
        <sz val="12"/>
        <color theme="1"/>
        <rFont val="Times New Roman"/>
        <family val="1"/>
      </rPr>
      <t>.</t>
    </r>
  </si>
  <si>
    <t>Columns M and N convert Petrie's modified coordinates to Imperial inches since Petrie's scale was 0.00508259"/unit.</t>
  </si>
  <si>
    <t>The values for "S. end of North Trench" and "N.W. corner of casing of 3rd pyramid"are in red because Petrie put a question mark against them.</t>
  </si>
  <si>
    <r>
      <t>ϴ</t>
    </r>
    <r>
      <rPr>
        <b/>
        <vertAlign val="subscript"/>
        <sz val="12"/>
        <rFont val="Times New Roman"/>
        <family val="1"/>
      </rPr>
      <t>TN</t>
    </r>
    <r>
      <rPr>
        <b/>
        <sz val="12"/>
        <rFont val="Times New Roman"/>
        <family val="1"/>
      </rPr>
      <t xml:space="preserve"> =
-90 - ϴ</t>
    </r>
    <r>
      <rPr>
        <b/>
        <vertAlign val="subscript"/>
        <sz val="12"/>
        <rFont val="Times New Roman"/>
        <family val="1"/>
      </rPr>
      <t xml:space="preserve">S
</t>
    </r>
    <r>
      <rPr>
        <b/>
        <sz val="12"/>
        <rFont val="Times New Roman"/>
        <family val="1"/>
      </rPr>
      <t>+ 1.2061°</t>
    </r>
  </si>
  <si>
    <t>Dash's Equations</t>
  </si>
  <si>
    <t>Differences Cooper v Dash</t>
  </si>
  <si>
    <t>H SW G1 to NE G2</t>
  </si>
  <si>
    <t>12 * 365.25</t>
  </si>
  <si>
    <t>V SW G1 to NE G2</t>
  </si>
  <si>
    <t>10 * √2 * 365.25</t>
  </si>
  <si>
    <t>H SW G2 to NE G3</t>
  </si>
  <si>
    <t>8.5 * 365.25</t>
  </si>
  <si>
    <t>V SW G2 to NE G3</t>
  </si>
  <si>
    <t>14 * √3 * 365.25</t>
  </si>
  <si>
    <t>V SW G1 to NE G3</t>
  </si>
  <si>
    <t>100/ɸ * 365.25</t>
  </si>
  <si>
    <t>H NE G1 to SW G3</t>
  </si>
  <si>
    <t>80 * 365.25</t>
  </si>
  <si>
    <t>H G1 C to G2 C</t>
  </si>
  <si>
    <t>36 * 365.25</t>
  </si>
  <si>
    <t>V G1 C to G2 C</t>
  </si>
  <si>
    <t>27 * √2 * 365.25</t>
  </si>
  <si>
    <t>H G1 C to G3 C</t>
  </si>
  <si>
    <t>V G1 C to G3 C</t>
  </si>
  <si>
    <t>45 * √π * 365.25</t>
  </si>
  <si>
    <t>V G2 C to G3 C</t>
  </si>
  <si>
    <t>24 * √3 * 365.25</t>
  </si>
  <si>
    <t>Length of Verhart's Rectilinear Line AD</t>
  </si>
  <si>
    <t>Length of Verhart's Rectilinear Line BD</t>
  </si>
  <si>
    <t xml:space="preserve">  </t>
  </si>
  <si>
    <t>Uncertainty (RSS)</t>
  </si>
  <si>
    <r>
      <t>Y/(</t>
    </r>
    <r>
      <rPr>
        <sz val="12"/>
        <color theme="1"/>
        <rFont val="Times New Roman"/>
        <family val="1"/>
      </rPr>
      <t>π</t>
    </r>
    <r>
      <rPr>
        <sz val="12"/>
        <color theme="1"/>
        <rFont val="Times New Roman"/>
        <family val="2"/>
      </rPr>
      <t>*</t>
    </r>
    <r>
      <rPr>
        <sz val="12"/>
        <color theme="1"/>
        <rFont val="Times New Roman"/>
        <family val="2"/>
      </rPr>
      <t>tan(P) (P46)</t>
    </r>
  </si>
  <si>
    <t>Height 7 corbels at S. GG based on average of 5 measures by Petrie, extrapolated to 7. (P46)</t>
  </si>
  <si>
    <r>
      <t>Y/(</t>
    </r>
    <r>
      <rPr>
        <sz val="12"/>
        <color theme="1"/>
        <rFont val="Times New Roman"/>
        <family val="1"/>
      </rPr>
      <t>π</t>
    </r>
    <r>
      <rPr>
        <sz val="12"/>
        <color theme="1"/>
        <rFont val="Times New Roman"/>
        <family val="2"/>
      </rPr>
      <t>*</t>
    </r>
    <r>
      <rPr>
        <sz val="12"/>
        <color theme="1"/>
        <rFont val="Times New Roman"/>
        <family val="2"/>
      </rPr>
      <t>5*tan(√π/4)) (P52)</t>
    </r>
  </si>
  <si>
    <r>
      <t>Y/(</t>
    </r>
    <r>
      <rPr>
        <sz val="12"/>
        <color theme="1"/>
        <rFont val="Times New Roman"/>
        <family val="1"/>
      </rPr>
      <t>π</t>
    </r>
    <r>
      <rPr>
        <sz val="12"/>
        <color theme="1"/>
        <rFont val="Times New Roman"/>
        <family val="2"/>
      </rPr>
      <t>*</t>
    </r>
    <r>
      <rPr>
        <sz val="12"/>
        <color theme="1"/>
        <rFont val="Times New Roman"/>
        <family val="2"/>
      </rPr>
      <t>tan(P)-RC/4 (Plate 13)</t>
    </r>
  </si>
  <si>
    <r>
      <t>Y/(</t>
    </r>
    <r>
      <rPr>
        <sz val="12"/>
        <color theme="1"/>
        <rFont val="Times New Roman"/>
        <family val="1"/>
      </rPr>
      <t>π</t>
    </r>
    <r>
      <rPr>
        <sz val="12"/>
        <color theme="1"/>
        <rFont val="Times New Roman"/>
        <family val="2"/>
      </rPr>
      <t>*</t>
    </r>
    <r>
      <rPr>
        <sz val="12"/>
        <color theme="1"/>
        <rFont val="Times New Roman"/>
        <family val="2"/>
      </rPr>
      <t>tan(P) (P52)</t>
    </r>
  </si>
  <si>
    <r>
      <t>Y/</t>
    </r>
    <r>
      <rPr>
        <sz val="12"/>
        <color theme="1"/>
        <rFont val="Times New Roman"/>
        <family val="1"/>
      </rPr>
      <t>π</t>
    </r>
    <r>
      <rPr>
        <sz val="12"/>
        <color theme="1"/>
        <rFont val="Times New Roman"/>
        <family val="2"/>
      </rPr>
      <t>*9/7+RC/6 (P49)</t>
    </r>
  </si>
  <si>
    <r>
      <t>Y/</t>
    </r>
    <r>
      <rPr>
        <sz val="12"/>
        <color theme="1"/>
        <rFont val="Times New Roman"/>
        <family val="1"/>
      </rPr>
      <t>π</t>
    </r>
    <r>
      <rPr>
        <sz val="12"/>
        <color theme="1"/>
        <rFont val="Times New Roman"/>
        <family val="2"/>
      </rPr>
      <t>*9/7 (P49)</t>
    </r>
  </si>
  <si>
    <t>RC*19/6 (P48)</t>
  </si>
  <si>
    <t>RC*14/6 (P48)</t>
  </si>
  <si>
    <t>RC*12/6 (P30)</t>
  </si>
  <si>
    <t>Y*(1-1/√π-1/2π) (P47)</t>
  </si>
  <si>
    <t>RC*5 (Avg. P47, P154)</t>
  </si>
  <si>
    <t>Length and Height of Year Square in Antechamber (P</t>
  </si>
  <si>
    <t xml:space="preserve"> </t>
  </si>
  <si>
    <r>
      <t>Y/</t>
    </r>
    <r>
      <rPr>
        <sz val="12"/>
        <color theme="1"/>
        <rFont val="Times New Roman"/>
        <family val="1"/>
      </rPr>
      <t>π</t>
    </r>
    <r>
      <rPr>
        <sz val="12"/>
        <color theme="1"/>
        <rFont val="Times New Roman"/>
        <family val="2"/>
      </rPr>
      <t xml:space="preserve"> (P48)</t>
    </r>
  </si>
  <si>
    <t>Y/7 (P47)</t>
  </si>
  <si>
    <t>RC*3 (P47)</t>
  </si>
  <si>
    <t>Length Great Step</t>
  </si>
  <si>
    <t>Y/tanA (P35)</t>
  </si>
  <si>
    <t>Diff
P"</t>
  </si>
  <si>
    <t>Theoretical
Dimension P"</t>
  </si>
  <si>
    <t>SSP Width</t>
  </si>
  <si>
    <t>SSP Height</t>
  </si>
  <si>
    <t>NSP and MSP Width</t>
  </si>
  <si>
    <t>NSP and MSP Height</t>
  </si>
  <si>
    <t>(QCAH - QCWH)/(QCL/2)</t>
  </si>
  <si>
    <t>Queen's Chamber Roof Angle</t>
  </si>
  <si>
    <t>Queen's Time Line from GG N. wall to QC center (QTL = QPL"+QPH"+5 RC+4.5 RC )</t>
  </si>
  <si>
    <t>For Petrie</t>
  </si>
  <si>
    <t>RC*20 (P52 Avg. of Top)</t>
  </si>
  <si>
    <t>RC*10 (P52 Avg. of Top)</t>
  </si>
  <si>
    <t>Petrie</t>
  </si>
  <si>
    <t>Recess</t>
  </si>
  <si>
    <t>Location</t>
  </si>
  <si>
    <t>Equation</t>
  </si>
  <si>
    <t>Length " by Equation</t>
  </si>
  <si>
    <t>Difference</t>
  </si>
  <si>
    <t>% Difference</t>
  </si>
  <si>
    <t>NSP</t>
  </si>
  <si>
    <t>MSP</t>
  </si>
  <si>
    <t>NSS</t>
  </si>
  <si>
    <t>SSP</t>
  </si>
  <si>
    <t>Arclength 6 ÷ 4</t>
  </si>
  <si>
    <t>Length Center G1 to G2</t>
  </si>
  <si>
    <t>"</t>
  </si>
  <si>
    <t>Length Center G2 to G3</t>
  </si>
  <si>
    <t>Length Center G1 to G3</t>
  </si>
  <si>
    <t>E (m)</t>
  </si>
  <si>
    <t>N (m)</t>
  </si>
  <si>
    <t>Aeragram 16_2_Gdash.pdf (Pages 12-13)</t>
  </si>
  <si>
    <t>Socket-to-socket length W</t>
  </si>
  <si>
    <t>Socket-to-socket length S</t>
  </si>
  <si>
    <t>Socket-to-socket length E</t>
  </si>
  <si>
    <t>Socket-to-socket length N</t>
  </si>
  <si>
    <t>Petrie (P20)"</t>
  </si>
  <si>
    <t>ID</t>
  </si>
  <si>
    <t xml:space="preserve">Base Length Equation </t>
  </si>
  <si>
    <t>Diff "</t>
  </si>
  <si>
    <t>Petrie "</t>
  </si>
  <si>
    <t>± 0.8</t>
  </si>
  <si>
    <t>± 1.5</t>
  </si>
  <si>
    <t>± 3.0</t>
  </si>
  <si>
    <t>365.25 × SC (24.83")</t>
  </si>
  <si>
    <t>Hrz. SW G1 to NE G2</t>
  </si>
  <si>
    <t>Vrt. SW G1 to NE G2</t>
  </si>
  <si>
    <t>Hrz. NE G1 to SW G3</t>
  </si>
  <si>
    <t>Vrt. NE G1 to SW G3</t>
  </si>
  <si>
    <t>G1 Base Length</t>
  </si>
  <si>
    <t>G2 Base Length</t>
  </si>
  <si>
    <t>G3 Base Length</t>
  </si>
  <si>
    <t>Dimension</t>
  </si>
  <si>
    <t>G1</t>
  </si>
  <si>
    <t>G2</t>
  </si>
  <si>
    <t>G3</t>
  </si>
  <si>
    <t>Peribolus Walls</t>
  </si>
  <si>
    <t>Granite Temple</t>
  </si>
  <si>
    <t>Dashur</t>
  </si>
  <si>
    <t>Sakkara</t>
  </si>
  <si>
    <t>4th - 6th Dynasty</t>
  </si>
  <si>
    <t>± 0.3</t>
  </si>
  <si>
    <t>± 0.005</t>
  </si>
  <si>
    <t>± 0.2</t>
  </si>
  <si>
    <t>Average variation in standard</t>
  </si>
  <si>
    <t>RC × √π × 120</t>
  </si>
  <si>
    <t>Dash (m)</t>
  </si>
  <si>
    <t>Verhart (m)</t>
  </si>
  <si>
    <t>Petrie (m)</t>
  </si>
  <si>
    <t>RC × √π × √2 × 100</t>
  </si>
  <si>
    <t>Hrz. SW G2 to NE G3</t>
  </si>
  <si>
    <t>Vrt. SW G2 to NE G4</t>
  </si>
  <si>
    <t>Calculated from above</t>
  </si>
  <si>
    <t>Cardinal "</t>
  </si>
  <si>
    <t>Side Aligned "</t>
  </si>
  <si>
    <t>Diference "</t>
  </si>
  <si>
    <t>-</t>
  </si>
  <si>
    <t>+</t>
  </si>
  <si>
    <t>RC × √2 × 1000</t>
  </si>
  <si>
    <t>RC × √3 × 1000</t>
  </si>
  <si>
    <t>365.25 × 9/8 × RC(G2)</t>
  </si>
  <si>
    <t>365.25 × √3/π × RC(G3)</t>
  </si>
  <si>
    <t>Longitude</t>
  </si>
  <si>
    <t>Latitude</t>
  </si>
  <si>
    <t>N.E. corner of casing of 2nd Pyramid</t>
  </si>
  <si>
    <t>S.E. corner of casing of 2nd Pyramid</t>
  </si>
  <si>
    <t>S.W. corner of casing of 2nd Pyramid</t>
  </si>
  <si>
    <t>N.W. corner of casing of 2nd Pyramid</t>
  </si>
  <si>
    <t>N.E. corner of casing of 3rd Pyramid</t>
  </si>
  <si>
    <t>S.E. corner of casing of 3rd Pyramid</t>
  </si>
  <si>
    <t>S.W. corner of casing of 3rd Pyramid</t>
  </si>
  <si>
    <t>N.W. corner of casing of 3rd Pyramid</t>
  </si>
  <si>
    <t>Existing casing edge on E. side of 1st Pyramid</t>
  </si>
  <si>
    <t>Existing casing edge on S. side of 1st Pyramid</t>
  </si>
  <si>
    <t>Existing casing edge on W. side of 1st Pyramid</t>
  </si>
  <si>
    <t>N.E corner of casing of 1st Pyramid</t>
  </si>
  <si>
    <t>S.E corner of casing of 1st Pyramid</t>
  </si>
  <si>
    <t>S.W corner of casing of 1st Pyramid</t>
  </si>
  <si>
    <t>N.W corner of casing of 1st Pyramid</t>
  </si>
  <si>
    <t>Center of casing of 1st Pyramid (and GPMP)</t>
  </si>
  <si>
    <t>Center of casing of 2nd Pyramid</t>
  </si>
  <si>
    <t>Center of casing of 3rd Pyramid</t>
  </si>
  <si>
    <t>Existing casing edge on N. side of 1st Pyramid</t>
  </si>
  <si>
    <t xml:space="preserve">Dash-Petrie Scaling </t>
  </si>
  <si>
    <t>Dash Northing Offset</t>
  </si>
  <si>
    <t>Dash Easting Offset</t>
  </si>
  <si>
    <r>
      <t>N</t>
    </r>
    <r>
      <rPr>
        <sz val="12"/>
        <color theme="1"/>
        <rFont val="Times New Roman"/>
        <family val="1"/>
      </rPr>
      <t xml:space="preserve"> = 100362.353 - 0.0254/196.713 × √(</t>
    </r>
    <r>
      <rPr>
        <i/>
        <sz val="12"/>
        <color theme="1"/>
        <rFont val="Times New Roman"/>
        <family val="1"/>
      </rPr>
      <t>P</t>
    </r>
    <r>
      <rPr>
        <i/>
        <vertAlign val="subscript"/>
        <sz val="12"/>
        <color theme="1"/>
        <rFont val="Times New Roman"/>
        <family val="1"/>
      </rPr>
      <t>s</t>
    </r>
    <r>
      <rPr>
        <vertAlign val="superscript"/>
        <sz val="12"/>
        <color theme="1"/>
        <rFont val="Times New Roman"/>
        <family val="1"/>
      </rPr>
      <t>2</t>
    </r>
    <r>
      <rPr>
        <sz val="12"/>
        <color theme="1"/>
        <rFont val="Times New Roman"/>
        <family val="1"/>
      </rPr>
      <t xml:space="preserve"> + </t>
    </r>
    <r>
      <rPr>
        <i/>
        <sz val="12"/>
        <color theme="1"/>
        <rFont val="Times New Roman"/>
        <family val="1"/>
      </rPr>
      <t>P</t>
    </r>
    <r>
      <rPr>
        <i/>
        <vertAlign val="subscript"/>
        <sz val="12"/>
        <color theme="1"/>
        <rFont val="Times New Roman"/>
        <family val="1"/>
      </rPr>
      <t>w</t>
    </r>
    <r>
      <rPr>
        <vertAlign val="superscript"/>
        <sz val="12"/>
        <color theme="1"/>
        <rFont val="Times New Roman"/>
        <family val="1"/>
      </rPr>
      <t>2</t>
    </r>
    <r>
      <rPr>
        <sz val="12"/>
        <color theme="1"/>
        <rFont val="Times New Roman"/>
        <family val="1"/>
      </rPr>
      <t>) × cos [arctan(</t>
    </r>
    <r>
      <rPr>
        <i/>
        <sz val="12"/>
        <color theme="1"/>
        <rFont val="Times New Roman"/>
        <family val="1"/>
      </rPr>
      <t>P</t>
    </r>
    <r>
      <rPr>
        <i/>
        <vertAlign val="subscript"/>
        <sz val="12"/>
        <color theme="1"/>
        <rFont val="Times New Roman"/>
        <family val="1"/>
      </rPr>
      <t>w</t>
    </r>
    <r>
      <rPr>
        <sz val="12"/>
        <color theme="1"/>
        <rFont val="Times New Roman"/>
        <family val="1"/>
      </rPr>
      <t>/</t>
    </r>
    <r>
      <rPr>
        <i/>
        <sz val="12"/>
        <color theme="1"/>
        <rFont val="Times New Roman"/>
        <family val="1"/>
      </rPr>
      <t>P</t>
    </r>
    <r>
      <rPr>
        <i/>
        <vertAlign val="subscript"/>
        <sz val="12"/>
        <color theme="1"/>
        <rFont val="Times New Roman"/>
        <family val="1"/>
      </rPr>
      <t>s</t>
    </r>
    <r>
      <rPr>
        <sz val="12"/>
        <color theme="1"/>
        <rFont val="Times New Roman"/>
        <family val="1"/>
      </rPr>
      <t>) – 1.206111°]</t>
    </r>
  </si>
  <si>
    <r>
      <t>E</t>
    </r>
    <r>
      <rPr>
        <sz val="12"/>
        <color theme="1"/>
        <rFont val="Times New Roman"/>
        <family val="1"/>
      </rPr>
      <t xml:space="preserve"> = 500288.822  - 0.0254/196.713 × √(</t>
    </r>
    <r>
      <rPr>
        <i/>
        <sz val="12"/>
        <color theme="1"/>
        <rFont val="Times New Roman"/>
        <family val="1"/>
      </rPr>
      <t>P</t>
    </r>
    <r>
      <rPr>
        <i/>
        <vertAlign val="subscript"/>
        <sz val="12"/>
        <color theme="1"/>
        <rFont val="Times New Roman"/>
        <family val="1"/>
      </rPr>
      <t>s</t>
    </r>
    <r>
      <rPr>
        <vertAlign val="superscript"/>
        <sz val="12"/>
        <color theme="1"/>
        <rFont val="Times New Roman"/>
        <family val="1"/>
      </rPr>
      <t>2</t>
    </r>
    <r>
      <rPr>
        <sz val="12"/>
        <color theme="1"/>
        <rFont val="Times New Roman"/>
        <family val="1"/>
      </rPr>
      <t xml:space="preserve"> + </t>
    </r>
    <r>
      <rPr>
        <i/>
        <sz val="12"/>
        <color theme="1"/>
        <rFont val="Times New Roman"/>
        <family val="1"/>
      </rPr>
      <t>P</t>
    </r>
    <r>
      <rPr>
        <i/>
        <vertAlign val="subscript"/>
        <sz val="12"/>
        <color theme="1"/>
        <rFont val="Times New Roman"/>
        <family val="1"/>
      </rPr>
      <t>w</t>
    </r>
    <r>
      <rPr>
        <vertAlign val="superscript"/>
        <sz val="12"/>
        <color theme="1"/>
        <rFont val="Times New Roman"/>
        <family val="1"/>
      </rPr>
      <t>2</t>
    </r>
    <r>
      <rPr>
        <sz val="12"/>
        <color theme="1"/>
        <rFont val="Times New Roman"/>
        <family val="1"/>
      </rPr>
      <t>) × sin [arctan(</t>
    </r>
    <r>
      <rPr>
        <i/>
        <sz val="12"/>
        <color theme="1"/>
        <rFont val="Times New Roman"/>
        <family val="1"/>
      </rPr>
      <t>P</t>
    </r>
    <r>
      <rPr>
        <i/>
        <vertAlign val="subscript"/>
        <sz val="12"/>
        <color theme="1"/>
        <rFont val="Times New Roman"/>
        <family val="1"/>
      </rPr>
      <t>w</t>
    </r>
    <r>
      <rPr>
        <sz val="12"/>
        <color theme="1"/>
        <rFont val="Times New Roman"/>
        <family val="1"/>
      </rPr>
      <t>/</t>
    </r>
    <r>
      <rPr>
        <i/>
        <sz val="12"/>
        <color theme="1"/>
        <rFont val="Times New Roman"/>
        <family val="1"/>
      </rPr>
      <t>P</t>
    </r>
    <r>
      <rPr>
        <i/>
        <vertAlign val="subscript"/>
        <sz val="12"/>
        <color theme="1"/>
        <rFont val="Times New Roman"/>
        <family val="1"/>
      </rPr>
      <t>s</t>
    </r>
    <r>
      <rPr>
        <sz val="12"/>
        <color theme="1"/>
        <rFont val="Times New Roman"/>
        <family val="1"/>
      </rPr>
      <t>) – 1.206111°]</t>
    </r>
  </si>
  <si>
    <t>Min.</t>
  </si>
  <si>
    <t>Max.</t>
  </si>
  <si>
    <t>Northing
Difference m</t>
  </si>
  <si>
    <t>Easting
Difference m</t>
  </si>
  <si>
    <t>Petrie Scaling</t>
  </si>
  <si>
    <t>Dash Scaling</t>
  </si>
  <si>
    <t>Petrie Label</t>
  </si>
  <si>
    <t>Cooper Label</t>
  </si>
  <si>
    <t>Dash's Table 1</t>
  </si>
  <si>
    <t>Petrie Coordinate
"from North"</t>
  </si>
  <si>
    <t>Petrie Coordinate
"from East"</t>
  </si>
  <si>
    <t>GPMP
Northing</t>
  </si>
  <si>
    <t>GPMP
Easting</t>
  </si>
  <si>
    <t>Rows Y &amp; Z - P &amp; R</t>
  </si>
  <si>
    <t>Differences Dash v Dash
Dash's Table 1 versus Cooper's Calculation Using Dash's Equations</t>
  </si>
  <si>
    <t>Columns T and U show that my results and those calculated using Dash’s equations differ only by a few micrometers.</t>
  </si>
  <si>
    <t>© 2026 M. J. Cooper. This workbook may be downloaded, examined, and shared with attribution.
Modified versions should be clearly identified and must not be represented as the author’s original work.</t>
  </si>
  <si>
    <t>Possible Plateau Layout</t>
  </si>
  <si>
    <t>G1 Diagonals Based
on Corner Sockets</t>
  </si>
  <si>
    <t>G1 Diagonals based
on Casing Corners</t>
  </si>
  <si>
    <t>G2 Diagonals based
on Casing Corners</t>
  </si>
  <si>
    <t>G3 Diagonals based
on Casing Corners</t>
  </si>
  <si>
    <t>Using Meters</t>
  </si>
  <si>
    <t>X m</t>
  </si>
  <si>
    <t>Y m</t>
  </si>
  <si>
    <t>Length m</t>
  </si>
  <si>
    <t>All values in B"</t>
  </si>
  <si>
    <t>Petrie's Cubits Across the Plateau and Elsewhere, Chapter 20</t>
  </si>
  <si>
    <t>Year Line</t>
  </si>
  <si>
    <t>Cubit Length</t>
  </si>
  <si>
    <r>
      <t>Diff</t>
    </r>
    <r>
      <rPr>
        <b/>
        <vertAlign val="superscript"/>
        <sz val="12"/>
        <color theme="1"/>
        <rFont val="Times New Roman"/>
        <family val="1"/>
      </rPr>
      <t>2</t>
    </r>
    <r>
      <rPr>
        <b/>
        <sz val="12"/>
        <color theme="1"/>
        <rFont val="Times New Roman"/>
        <family val="1"/>
      </rPr>
      <t xml:space="preserve"> B"</t>
    </r>
  </si>
  <si>
    <r>
      <t>Diff</t>
    </r>
    <r>
      <rPr>
        <b/>
        <vertAlign val="superscript"/>
        <sz val="12"/>
        <color theme="1"/>
        <rFont val="Times New Roman"/>
        <family val="1"/>
      </rPr>
      <t>2</t>
    </r>
    <r>
      <rPr>
        <b/>
        <sz val="12"/>
        <color theme="1"/>
        <rFont val="Times New Roman"/>
        <family val="1"/>
      </rPr>
      <t xml:space="preserve"> P"</t>
    </r>
  </si>
  <si>
    <t>Height and Width of  Well Shaft Using Edgar's Measure but Alternatives Exist</t>
  </si>
  <si>
    <t xml:space="preserve">Columns P through S convert Petrie's modified survey results to Dash's GPMP coordinates, using my modified Petrie results and also Dash's equations.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</si>
</sst>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0"/>
    <numFmt numFmtId="165" formatCode="0.0000"/>
    <numFmt numFmtId="166" formatCode="0.00000000"/>
    <numFmt numFmtId="167" formatCode="0.0000000"/>
    <numFmt numFmtId="168" formatCode="[h]\°\ mm\'\ ss\&quot;"/>
    <numFmt numFmtId="169" formatCode="0.000000"/>
    <numFmt numFmtId="170" formatCode="mm\'\ ss\&quot;"/>
    <numFmt numFmtId="171" formatCode="0.000000000000000"/>
    <numFmt numFmtId="172" formatCode="[h]\°\ mm\'\ ss.000\&quot;"/>
    <numFmt numFmtId="173" formatCode="0.000"/>
    <numFmt numFmtId="174" formatCode="h\°\ mm\'\ ss\&quot;"/>
    <numFmt numFmtId="175" formatCode="0.000000000"/>
    <numFmt numFmtId="176" formatCode="0.00000"/>
    <numFmt numFmtId="177" formatCode="0.00000000000"/>
    <numFmt numFmtId="178" formatCode="0.0000000000"/>
    <numFmt numFmtId="179" formatCode="0.00000%"/>
  </numFmts>
  <fonts count="31" x14ac:knownFonts="1">
    <font>
      <sz val="12"/>
      <color theme="1"/>
      <name val="Times New Roman"/>
      <family val="2"/>
    </font>
    <font>
      <sz val="12"/>
      <color theme="1"/>
      <name val="Times New Roman"/>
      <family val="2"/>
    </font>
    <font>
      <sz val="12"/>
      <name val="Times New Roman"/>
      <family val="1"/>
    </font>
    <font>
      <b/>
      <sz val="12"/>
      <name val="Times New Roman"/>
      <family val="1"/>
    </font>
    <font>
      <sz val="12"/>
      <color rgb="FFFF0000"/>
      <name val="Times New Roman"/>
      <family val="1"/>
    </font>
    <font>
      <i/>
      <sz val="12"/>
      <name val="Times New Roman"/>
      <family val="1"/>
    </font>
    <font>
      <sz val="12"/>
      <color theme="1"/>
      <name val="Times New Roman"/>
      <family val="1"/>
    </font>
    <font>
      <b/>
      <vertAlign val="subscript"/>
      <sz val="12"/>
      <name val="Times New Roman"/>
      <family val="1"/>
    </font>
    <font>
      <vertAlign val="subscript"/>
      <sz val="12"/>
      <color theme="1"/>
      <name val="Times New Roman"/>
      <family val="1"/>
    </font>
    <font>
      <vertAlign val="superscript"/>
      <sz val="12"/>
      <color theme="1"/>
      <name val="Times New Roman"/>
      <family val="1"/>
    </font>
    <font>
      <b/>
      <vertAlign val="superscript"/>
      <sz val="12"/>
      <name val="Times New Roman"/>
      <family val="1"/>
    </font>
    <font>
      <b/>
      <sz val="12"/>
      <color rgb="FF00FF00"/>
      <name val="Times New Roman"/>
      <family val="1"/>
    </font>
    <font>
      <b/>
      <vertAlign val="subscript"/>
      <sz val="12"/>
      <color rgb="FF00FF00"/>
      <name val="Times New Roman"/>
      <family val="1"/>
    </font>
    <font>
      <b/>
      <sz val="12"/>
      <color rgb="FF0000FF"/>
      <name val="Times New Roman"/>
      <family val="1"/>
    </font>
    <font>
      <i/>
      <sz val="12"/>
      <color theme="1"/>
      <name val="Times New Roman"/>
      <family val="2"/>
    </font>
    <font>
      <sz val="12"/>
      <color rgb="FF000000"/>
      <name val="Times New Roman"/>
      <family val="1"/>
    </font>
    <font>
      <b/>
      <sz val="12"/>
      <color rgb="FFFF0000"/>
      <name val="Times New Roman"/>
      <family val="1"/>
    </font>
    <font>
      <u/>
      <sz val="12"/>
      <color theme="10"/>
      <name val="Times New Roman"/>
      <family val="2"/>
    </font>
    <font>
      <sz val="12"/>
      <color rgb="FF242424"/>
      <name val="Times New Roman"/>
      <family val="1"/>
    </font>
    <font>
      <b/>
      <sz val="12"/>
      <color theme="1"/>
      <name val="Times New Roman"/>
      <family val="1"/>
    </font>
    <font>
      <sz val="12"/>
      <name val="Times New Roman"/>
      <family val="2"/>
    </font>
    <font>
      <b/>
      <sz val="12"/>
      <color rgb="FF000000"/>
      <name val="Cambria"/>
      <family val="1"/>
    </font>
    <font>
      <b/>
      <sz val="12"/>
      <name val="Cambria"/>
      <family val="1"/>
    </font>
    <font>
      <sz val="8"/>
      <name val="Times New Roman"/>
      <family val="2"/>
    </font>
    <font>
      <sz val="12"/>
      <color theme="1"/>
      <name val="Calibri"/>
      <family val="2"/>
    </font>
    <font>
      <i/>
      <sz val="12"/>
      <color theme="1"/>
      <name val="Times New Roman"/>
      <family val="1"/>
    </font>
    <font>
      <i/>
      <vertAlign val="subscript"/>
      <sz val="12"/>
      <color theme="1"/>
      <name val="Times New Roman"/>
      <family val="1"/>
    </font>
    <font>
      <b/>
      <sz val="12"/>
      <color theme="1"/>
      <name val="Calibri"/>
      <family val="2"/>
    </font>
    <font>
      <sz val="20"/>
      <name val="Times New Roman"/>
      <family val="1"/>
    </font>
    <font>
      <b/>
      <vertAlign val="superscript"/>
      <sz val="12"/>
      <color theme="1"/>
      <name val="Times New Roman"/>
      <family val="1"/>
    </font>
    <font>
      <sz val="12"/>
      <color rgb="FF000000"/>
      <name val="Cambria"/>
      <family val="1"/>
    </font>
  </fonts>
  <fills count="8">
    <fill>
      <patternFill patternType="none"/>
    </fill>
    <fill>
      <patternFill patternType="gray125"/>
    </fill>
    <fill>
      <patternFill patternType="solid">
        <fgColor rgb="FFFFFF00"/>
        <bgColor indexed="64"/>
      </patternFill>
    </fill>
    <fill>
      <patternFill patternType="solid">
        <fgColor theme="3" tint="0.89999084444715716"/>
        <bgColor indexed="64"/>
      </patternFill>
    </fill>
    <fill>
      <patternFill patternType="solid">
        <fgColor theme="4" tint="0.79998168889431442"/>
        <bgColor indexed="65"/>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thick">
        <color indexed="64"/>
      </top>
      <bottom/>
      <diagonal/>
    </border>
    <border>
      <left style="thin">
        <color auto="1"/>
      </left>
      <right/>
      <top style="medium">
        <color indexed="64"/>
      </top>
      <bottom style="medium">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ck">
        <color indexed="64"/>
      </right>
      <top style="medium">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s>
  <cellStyleXfs count="4">
    <xf numFmtId="0" fontId="0" fillId="0" borderId="0"/>
    <xf numFmtId="9" fontId="1" fillId="0" borderId="0" applyFont="0" applyFill="0" applyBorder="0" applyAlignment="0" applyProtection="0"/>
    <xf numFmtId="0" fontId="17" fillId="0" borderId="0" applyNumberFormat="0" applyFill="0" applyBorder="0" applyAlignment="0" applyProtection="0"/>
    <xf numFmtId="0" fontId="6" fillId="4" borderId="0" applyNumberFormat="0" applyBorder="0" applyAlignment="0" applyProtection="0"/>
  </cellStyleXfs>
  <cellXfs count="536">
    <xf numFmtId="0" fontId="0" fillId="0" borderId="0" xfId="0"/>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6" fillId="0" borderId="0" xfId="0" applyFont="1"/>
    <xf numFmtId="2" fontId="0" fillId="0" borderId="0" xfId="0" applyNumberFormat="1"/>
    <xf numFmtId="164" fontId="0" fillId="0" borderId="0" xfId="0" applyNumberFormat="1"/>
    <xf numFmtId="0" fontId="6" fillId="0" borderId="0" xfId="0" applyFont="1" applyAlignment="1">
      <alignment horizontal="center"/>
    </xf>
    <xf numFmtId="165" fontId="6" fillId="0" borderId="0" xfId="0" applyNumberFormat="1" applyFont="1"/>
    <xf numFmtId="1" fontId="6" fillId="0" borderId="0" xfId="0" applyNumberFormat="1" applyFont="1"/>
    <xf numFmtId="164" fontId="6" fillId="0" borderId="0" xfId="0" applyNumberFormat="1" applyFont="1"/>
    <xf numFmtId="0" fontId="0" fillId="0" borderId="0" xfId="0" applyAlignment="1">
      <alignment vertical="top"/>
    </xf>
    <xf numFmtId="0" fontId="0" fillId="0" borderId="0" xfId="0" applyAlignment="1">
      <alignment horizontal="right"/>
    </xf>
    <xf numFmtId="2" fontId="0" fillId="0" borderId="0" xfId="0" applyNumberFormat="1" applyAlignment="1">
      <alignment horizontal="right"/>
    </xf>
    <xf numFmtId="10" fontId="0" fillId="0" borderId="0" xfId="1" applyNumberFormat="1" applyFont="1"/>
    <xf numFmtId="169" fontId="6" fillId="0" borderId="0" xfId="0" applyNumberFormat="1" applyFont="1"/>
    <xf numFmtId="1" fontId="3" fillId="0" borderId="1" xfId="0" applyNumberFormat="1" applyFont="1" applyBorder="1" applyAlignment="1">
      <alignment horizontal="center" vertical="center" wrapText="1"/>
    </xf>
    <xf numFmtId="167" fontId="6" fillId="0" borderId="2" xfId="0" applyNumberFormat="1" applyFont="1" applyBorder="1"/>
    <xf numFmtId="166" fontId="6" fillId="0" borderId="2" xfId="0" applyNumberFormat="1" applyFont="1" applyBorder="1"/>
    <xf numFmtId="1" fontId="0" fillId="0" borderId="0" xfId="0" applyNumberFormat="1"/>
    <xf numFmtId="0" fontId="6" fillId="0" borderId="5" xfId="0" applyFont="1" applyBorder="1" applyAlignment="1">
      <alignment horizontal="center"/>
    </xf>
    <xf numFmtId="0" fontId="6" fillId="0" borderId="6" xfId="0" applyFont="1" applyBorder="1" applyAlignment="1">
      <alignment horizontal="center"/>
    </xf>
    <xf numFmtId="2" fontId="6" fillId="0" borderId="0" xfId="0" applyNumberFormat="1" applyFont="1" applyAlignment="1">
      <alignment horizontal="center"/>
    </xf>
    <xf numFmtId="173" fontId="0" fillId="0" borderId="0" xfId="0" applyNumberFormat="1"/>
    <xf numFmtId="0" fontId="6" fillId="0" borderId="8" xfId="0" applyFont="1" applyBorder="1"/>
    <xf numFmtId="0" fontId="6" fillId="0" borderId="12" xfId="0" applyFont="1" applyBorder="1" applyAlignment="1">
      <alignment horizontal="center"/>
    </xf>
    <xf numFmtId="0" fontId="6" fillId="0" borderId="13" xfId="0" applyFont="1" applyBorder="1"/>
    <xf numFmtId="0" fontId="6" fillId="0" borderId="5" xfId="0" applyFont="1" applyBorder="1"/>
    <xf numFmtId="0" fontId="6" fillId="0" borderId="4" xfId="0" applyFont="1" applyBorder="1" applyAlignment="1">
      <alignment horizontal="center"/>
    </xf>
    <xf numFmtId="0" fontId="6" fillId="0" borderId="4" xfId="0" applyFont="1" applyBorder="1"/>
    <xf numFmtId="165" fontId="6" fillId="0" borderId="4" xfId="0" applyNumberFormat="1" applyFont="1" applyBorder="1"/>
    <xf numFmtId="0" fontId="6" fillId="0" borderId="10" xfId="0" applyFont="1" applyBorder="1"/>
    <xf numFmtId="164" fontId="6" fillId="0" borderId="15" xfId="0" applyNumberFormat="1" applyFont="1" applyBorder="1"/>
    <xf numFmtId="164" fontId="6" fillId="0" borderId="11" xfId="0" applyNumberFormat="1" applyFont="1" applyBorder="1"/>
    <xf numFmtId="173" fontId="6" fillId="0" borderId="4" xfId="0" applyNumberFormat="1" applyFont="1" applyBorder="1"/>
    <xf numFmtId="169" fontId="6" fillId="0" borderId="10" xfId="0" applyNumberFormat="1" applyFont="1" applyBorder="1" applyAlignment="1">
      <alignment horizontal="center" wrapText="1"/>
    </xf>
    <xf numFmtId="169" fontId="6" fillId="0" borderId="11" xfId="0" applyNumberFormat="1" applyFont="1" applyBorder="1" applyAlignment="1">
      <alignment horizontal="center" wrapText="1"/>
    </xf>
    <xf numFmtId="165" fontId="2" fillId="0" borderId="0" xfId="0" applyNumberFormat="1" applyFont="1" applyAlignment="1">
      <alignment horizontal="center"/>
    </xf>
    <xf numFmtId="0" fontId="6" fillId="2" borderId="7" xfId="0" applyFont="1" applyFill="1" applyBorder="1" applyAlignment="1">
      <alignment horizontal="center"/>
    </xf>
    <xf numFmtId="0" fontId="6" fillId="2" borderId="8" xfId="0" applyFont="1" applyFill="1" applyBorder="1" applyAlignment="1">
      <alignment horizontal="left"/>
    </xf>
    <xf numFmtId="0" fontId="6" fillId="2" borderId="12" xfId="0" applyFont="1" applyFill="1" applyBorder="1" applyAlignment="1">
      <alignment horizontal="center"/>
    </xf>
    <xf numFmtId="0" fontId="6" fillId="2" borderId="12" xfId="0" applyFont="1" applyFill="1" applyBorder="1"/>
    <xf numFmtId="0" fontId="6" fillId="2" borderId="12" xfId="0" applyFont="1" applyFill="1" applyBorder="1" applyAlignment="1">
      <alignment horizontal="right"/>
    </xf>
    <xf numFmtId="4" fontId="6" fillId="2" borderId="9" xfId="0" applyNumberFormat="1" applyFont="1" applyFill="1" applyBorder="1"/>
    <xf numFmtId="0" fontId="6" fillId="2" borderId="8" xfId="0" applyFont="1" applyFill="1" applyBorder="1"/>
    <xf numFmtId="2" fontId="6" fillId="2" borderId="9" xfId="0" applyNumberFormat="1" applyFont="1" applyFill="1" applyBorder="1"/>
    <xf numFmtId="2" fontId="6" fillId="2" borderId="8" xfId="0" applyNumberFormat="1" applyFont="1" applyFill="1" applyBorder="1"/>
    <xf numFmtId="10" fontId="6" fillId="2" borderId="9" xfId="1" applyNumberFormat="1" applyFont="1" applyFill="1" applyBorder="1" applyAlignment="1">
      <alignment horizontal="center"/>
    </xf>
    <xf numFmtId="0" fontId="6" fillId="2" borderId="13" xfId="0" applyFont="1" applyFill="1" applyBorder="1"/>
    <xf numFmtId="0" fontId="6" fillId="2" borderId="0" xfId="0" applyFont="1" applyFill="1" applyAlignment="1">
      <alignment horizontal="center"/>
    </xf>
    <xf numFmtId="0" fontId="6" fillId="2" borderId="0" xfId="0" applyFont="1" applyFill="1"/>
    <xf numFmtId="0" fontId="6" fillId="2" borderId="0" xfId="0" applyFont="1" applyFill="1" applyAlignment="1">
      <alignment horizontal="right"/>
    </xf>
    <xf numFmtId="4" fontId="6" fillId="2" borderId="14" xfId="0" applyNumberFormat="1" applyFont="1" applyFill="1" applyBorder="1"/>
    <xf numFmtId="2" fontId="6" fillId="2" borderId="14" xfId="0" applyNumberFormat="1" applyFont="1" applyFill="1" applyBorder="1"/>
    <xf numFmtId="2" fontId="6" fillId="2" borderId="13" xfId="0" applyNumberFormat="1" applyFont="1" applyFill="1" applyBorder="1"/>
    <xf numFmtId="10" fontId="6" fillId="2" borderId="14" xfId="1" applyNumberFormat="1" applyFont="1" applyFill="1" applyBorder="1" applyAlignment="1">
      <alignment horizontal="center"/>
    </xf>
    <xf numFmtId="0" fontId="6" fillId="2" borderId="5" xfId="0" applyFont="1" applyFill="1" applyBorder="1"/>
    <xf numFmtId="0" fontId="6" fillId="2" borderId="4" xfId="0" applyFont="1" applyFill="1" applyBorder="1" applyAlignment="1">
      <alignment horizontal="center"/>
    </xf>
    <xf numFmtId="0" fontId="6" fillId="2" borderId="4" xfId="0" applyFont="1" applyFill="1" applyBorder="1"/>
    <xf numFmtId="0" fontId="6" fillId="2" borderId="4" xfId="0" applyFont="1" applyFill="1" applyBorder="1" applyAlignment="1">
      <alignment horizontal="right"/>
    </xf>
    <xf numFmtId="4" fontId="6" fillId="2" borderId="6" xfId="0" applyNumberFormat="1" applyFont="1" applyFill="1" applyBorder="1"/>
    <xf numFmtId="2" fontId="6" fillId="2" borderId="6" xfId="0" applyNumberFormat="1" applyFont="1" applyFill="1" applyBorder="1"/>
    <xf numFmtId="2" fontId="6" fillId="2" borderId="5" xfId="0" applyNumberFormat="1" applyFont="1" applyFill="1" applyBorder="1"/>
    <xf numFmtId="10" fontId="6" fillId="2" borderId="6" xfId="1" applyNumberFormat="1" applyFont="1" applyFill="1" applyBorder="1" applyAlignment="1">
      <alignment horizontal="center"/>
    </xf>
    <xf numFmtId="0" fontId="6" fillId="3" borderId="7" xfId="0" applyFont="1" applyFill="1" applyBorder="1" applyAlignment="1">
      <alignment horizontal="center"/>
    </xf>
    <xf numFmtId="0" fontId="6" fillId="3" borderId="7" xfId="0" applyFont="1" applyFill="1" applyBorder="1" applyAlignment="1">
      <alignment horizontal="center" wrapText="1"/>
    </xf>
    <xf numFmtId="1" fontId="3" fillId="3" borderId="3" xfId="0" applyNumberFormat="1" applyFont="1" applyFill="1" applyBorder="1" applyAlignment="1">
      <alignment horizontal="center" vertical="center" wrapText="1"/>
    </xf>
    <xf numFmtId="0" fontId="6" fillId="3" borderId="7"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wrapText="1"/>
    </xf>
    <xf numFmtId="0" fontId="6" fillId="0" borderId="12" xfId="0" applyFont="1" applyBorder="1"/>
    <xf numFmtId="0" fontId="6" fillId="0" borderId="9" xfId="0" applyFont="1" applyBorder="1"/>
    <xf numFmtId="0" fontId="6" fillId="0" borderId="14" xfId="0" applyFont="1" applyBorder="1"/>
    <xf numFmtId="164" fontId="6" fillId="0" borderId="14" xfId="0" applyNumberFormat="1" applyFont="1" applyBorder="1"/>
    <xf numFmtId="169" fontId="6" fillId="0" borderId="4" xfId="0" applyNumberFormat="1" applyFont="1" applyBorder="1"/>
    <xf numFmtId="1" fontId="6" fillId="0" borderId="4" xfId="0" applyNumberFormat="1" applyFont="1" applyBorder="1"/>
    <xf numFmtId="164" fontId="6" fillId="0" borderId="4" xfId="0" applyNumberFormat="1" applyFont="1" applyBorder="1"/>
    <xf numFmtId="164" fontId="6" fillId="0" borderId="6" xfId="0" applyNumberFormat="1" applyFont="1" applyBorder="1"/>
    <xf numFmtId="169" fontId="6" fillId="0" borderId="12" xfId="0" applyNumberFormat="1" applyFont="1" applyBorder="1"/>
    <xf numFmtId="1" fontId="6" fillId="0" borderId="12" xfId="0" applyNumberFormat="1" applyFont="1" applyBorder="1"/>
    <xf numFmtId="164" fontId="6" fillId="0" borderId="12" xfId="0" applyNumberFormat="1" applyFont="1" applyBorder="1"/>
    <xf numFmtId="164" fontId="6" fillId="0" borderId="9" xfId="0" applyNumberFormat="1" applyFont="1" applyBorder="1"/>
    <xf numFmtId="165" fontId="6" fillId="0" borderId="12" xfId="0" applyNumberFormat="1" applyFont="1" applyBorder="1"/>
    <xf numFmtId="165" fontId="6" fillId="0" borderId="10" xfId="0" applyNumberFormat="1" applyFont="1" applyBorder="1" applyAlignment="1">
      <alignment horizontal="center" wrapText="1"/>
    </xf>
    <xf numFmtId="2" fontId="6" fillId="0" borderId="0" xfId="0" applyNumberFormat="1" applyFont="1"/>
    <xf numFmtId="0" fontId="6" fillId="0" borderId="0" xfId="0" applyFont="1" applyAlignment="1">
      <alignment horizontal="center" vertical="center" wrapText="1"/>
    </xf>
    <xf numFmtId="0" fontId="6" fillId="0" borderId="0" xfId="0" applyFont="1" applyAlignment="1">
      <alignment horizontal="center" vertical="center"/>
    </xf>
    <xf numFmtId="173" fontId="16" fillId="0" borderId="0" xfId="0" applyNumberFormat="1" applyFont="1"/>
    <xf numFmtId="2" fontId="15" fillId="0" borderId="0" xfId="0" applyNumberFormat="1" applyFont="1" applyAlignment="1">
      <alignment vertical="center" wrapText="1"/>
    </xf>
    <xf numFmtId="0" fontId="15" fillId="0" borderId="0" xfId="0" applyFont="1" applyAlignment="1">
      <alignment horizontal="center" vertical="center" wrapText="1"/>
    </xf>
    <xf numFmtId="0" fontId="17" fillId="0" borderId="0" xfId="2"/>
    <xf numFmtId="173" fontId="15" fillId="0" borderId="0" xfId="0" applyNumberFormat="1" applyFont="1" applyAlignment="1">
      <alignment vertical="center" wrapText="1"/>
    </xf>
    <xf numFmtId="0" fontId="18" fillId="0" borderId="0" xfId="0" applyFont="1"/>
    <xf numFmtId="0" fontId="6" fillId="0" borderId="1" xfId="0" applyFont="1" applyBorder="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0" fontId="0" fillId="0" borderId="4" xfId="0" applyBorder="1"/>
    <xf numFmtId="0" fontId="14" fillId="0" borderId="16" xfId="0" applyFont="1" applyBorder="1" applyAlignment="1">
      <alignment horizontal="center"/>
    </xf>
    <xf numFmtId="0" fontId="14" fillId="0" borderId="16" xfId="0" applyFont="1" applyBorder="1" applyAlignment="1">
      <alignment horizontal="centerContinuous"/>
    </xf>
    <xf numFmtId="173" fontId="6" fillId="0" borderId="0" xfId="0" applyNumberFormat="1" applyFont="1" applyAlignment="1">
      <alignment horizontal="center" vertical="center" wrapText="1"/>
    </xf>
    <xf numFmtId="173" fontId="6" fillId="0" borderId="0" xfId="0" applyNumberFormat="1" applyFont="1" applyAlignment="1">
      <alignment horizontal="center" vertical="center"/>
    </xf>
    <xf numFmtId="173" fontId="6" fillId="0" borderId="13" xfId="3" applyNumberFormat="1" applyFill="1" applyBorder="1" applyAlignment="1">
      <alignment vertical="top"/>
    </xf>
    <xf numFmtId="164" fontId="2" fillId="0" borderId="0" xfId="0" applyNumberFormat="1" applyFont="1" applyAlignment="1">
      <alignment vertical="top"/>
    </xf>
    <xf numFmtId="168" fontId="2" fillId="0" borderId="14" xfId="0" applyNumberFormat="1" applyFont="1" applyBorder="1" applyAlignment="1">
      <alignment vertical="top"/>
    </xf>
    <xf numFmtId="173" fontId="6" fillId="0" borderId="13" xfId="0" applyNumberFormat="1" applyFont="1" applyBorder="1"/>
    <xf numFmtId="174" fontId="6" fillId="0" borderId="14" xfId="0" applyNumberFormat="1" applyFont="1" applyBorder="1"/>
    <xf numFmtId="173" fontId="6" fillId="0" borderId="5" xfId="0" applyNumberFormat="1" applyFont="1" applyBorder="1"/>
    <xf numFmtId="0" fontId="6" fillId="0" borderId="7" xfId="0" applyFont="1" applyBorder="1" applyAlignment="1">
      <alignment horizontal="center"/>
    </xf>
    <xf numFmtId="173" fontId="2" fillId="0" borderId="1" xfId="0" applyNumberFormat="1" applyFont="1" applyBorder="1" applyAlignment="1">
      <alignment vertical="top"/>
    </xf>
    <xf numFmtId="164" fontId="2" fillId="0" borderId="2" xfId="0" applyNumberFormat="1" applyFont="1" applyBorder="1" applyAlignment="1">
      <alignment vertical="top"/>
    </xf>
    <xf numFmtId="168" fontId="2" fillId="0" borderId="3" xfId="0" applyNumberFormat="1" applyFont="1" applyBorder="1" applyAlignment="1">
      <alignment vertical="top"/>
    </xf>
    <xf numFmtId="173" fontId="6" fillId="0" borderId="1" xfId="0" applyNumberFormat="1" applyFont="1" applyBorder="1"/>
    <xf numFmtId="164" fontId="6" fillId="0" borderId="2" xfId="0" applyNumberFormat="1" applyFont="1" applyBorder="1"/>
    <xf numFmtId="0" fontId="16" fillId="0" borderId="0" xfId="0" applyFont="1"/>
    <xf numFmtId="0" fontId="16" fillId="0" borderId="4" xfId="0" applyFont="1" applyBorder="1"/>
    <xf numFmtId="0" fontId="2" fillId="0" borderId="7" xfId="0" applyFont="1" applyBorder="1" applyAlignment="1">
      <alignment horizontal="center" vertical="top"/>
    </xf>
    <xf numFmtId="0" fontId="2" fillId="0" borderId="15" xfId="0" applyFont="1" applyBorder="1" applyAlignment="1">
      <alignment horizontal="center" vertical="top"/>
    </xf>
    <xf numFmtId="0" fontId="6" fillId="0" borderId="1" xfId="0" applyFont="1" applyBorder="1" applyAlignment="1">
      <alignment horizontal="center" vertical="center" wrapText="1"/>
    </xf>
    <xf numFmtId="0" fontId="6" fillId="0" borderId="2" xfId="0" applyFont="1" applyBorder="1" applyAlignment="1">
      <alignment horizontal="center" vertical="center"/>
    </xf>
    <xf numFmtId="0" fontId="6" fillId="0" borderId="7"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1" xfId="0" applyFont="1" applyBorder="1" applyAlignment="1">
      <alignment horizontal="center" vertical="center" wrapText="1"/>
    </xf>
    <xf numFmtId="173" fontId="6" fillId="0" borderId="8" xfId="0" applyNumberFormat="1" applyFont="1" applyBorder="1" applyAlignment="1">
      <alignment horizontal="center" vertical="center"/>
    </xf>
    <xf numFmtId="173" fontId="6" fillId="0" borderId="12" xfId="0" applyNumberFormat="1" applyFont="1" applyBorder="1" applyAlignment="1">
      <alignment horizontal="center" vertical="center"/>
    </xf>
    <xf numFmtId="168" fontId="6" fillId="0" borderId="9" xfId="0" applyNumberFormat="1" applyFont="1" applyBorder="1"/>
    <xf numFmtId="173" fontId="6" fillId="0" borderId="13" xfId="0" applyNumberFormat="1" applyFont="1" applyBorder="1" applyAlignment="1">
      <alignment horizontal="center" vertical="center"/>
    </xf>
    <xf numFmtId="168" fontId="6" fillId="0" borderId="14" xfId="0" applyNumberFormat="1" applyFont="1" applyBorder="1"/>
    <xf numFmtId="173" fontId="6" fillId="0" borderId="5" xfId="0" applyNumberFormat="1" applyFont="1" applyBorder="1" applyAlignment="1">
      <alignment horizontal="center" vertical="center"/>
    </xf>
    <xf numFmtId="173" fontId="6" fillId="0" borderId="4" xfId="0" applyNumberFormat="1" applyFont="1" applyBorder="1" applyAlignment="1">
      <alignment horizontal="center" vertical="center"/>
    </xf>
    <xf numFmtId="168" fontId="6" fillId="0" borderId="6" xfId="0" applyNumberFormat="1" applyFont="1" applyBorder="1"/>
    <xf numFmtId="173" fontId="6" fillId="0" borderId="8" xfId="0" applyNumberFormat="1" applyFont="1" applyBorder="1"/>
    <xf numFmtId="173" fontId="6" fillId="0" borderId="12" xfId="0" applyNumberFormat="1" applyFont="1" applyBorder="1"/>
    <xf numFmtId="0" fontId="6" fillId="0" borderId="1" xfId="0" applyFont="1" applyBorder="1" applyAlignment="1">
      <alignment horizontal="center" vertical="center"/>
    </xf>
    <xf numFmtId="0" fontId="16" fillId="0" borderId="9" xfId="0" applyFont="1" applyBorder="1"/>
    <xf numFmtId="0" fontId="16" fillId="0" borderId="14" xfId="0" applyFont="1" applyBorder="1"/>
    <xf numFmtId="0" fontId="16" fillId="0" borderId="6" xfId="0" applyFont="1" applyBorder="1"/>
    <xf numFmtId="173" fontId="2" fillId="0" borderId="1" xfId="0" applyNumberFormat="1" applyFont="1" applyBorder="1" applyAlignment="1">
      <alignment horizontal="center" vertical="top"/>
    </xf>
    <xf numFmtId="0" fontId="2" fillId="0" borderId="2" xfId="0" applyFont="1" applyBorder="1" applyAlignment="1">
      <alignment horizontal="center" vertical="top"/>
    </xf>
    <xf numFmtId="0" fontId="2" fillId="0" borderId="3" xfId="0" applyFont="1" applyBorder="1" applyAlignment="1">
      <alignment horizontal="center" vertical="top"/>
    </xf>
    <xf numFmtId="0" fontId="6" fillId="0" borderId="2" xfId="0" applyFont="1" applyBorder="1" applyAlignment="1">
      <alignment horizontal="center" vertical="center" wrapText="1"/>
    </xf>
    <xf numFmtId="0" fontId="0" fillId="0" borderId="2" xfId="0" applyBorder="1" applyAlignment="1">
      <alignment vertical="center" wrapText="1"/>
    </xf>
    <xf numFmtId="0" fontId="0" fillId="0" borderId="3" xfId="0" applyBorder="1" applyAlignment="1">
      <alignment vertical="center" wrapText="1"/>
    </xf>
    <xf numFmtId="173" fontId="0" fillId="0" borderId="13" xfId="0" applyNumberFormat="1" applyBorder="1"/>
    <xf numFmtId="173" fontId="0" fillId="0" borderId="14" xfId="0" applyNumberFormat="1" applyBorder="1"/>
    <xf numFmtId="173" fontId="0" fillId="0" borderId="5" xfId="0" applyNumberFormat="1" applyBorder="1"/>
    <xf numFmtId="173" fontId="0" fillId="0" borderId="4" xfId="0" applyNumberFormat="1" applyBorder="1"/>
    <xf numFmtId="173" fontId="0" fillId="0" borderId="6" xfId="0" applyNumberFormat="1" applyBorder="1"/>
    <xf numFmtId="173" fontId="6" fillId="0" borderId="8" xfId="0" applyNumberFormat="1" applyFont="1" applyBorder="1" applyAlignment="1">
      <alignment horizontal="center" vertical="center" wrapText="1"/>
    </xf>
    <xf numFmtId="0" fontId="6" fillId="0" borderId="12" xfId="0" applyFont="1" applyBorder="1" applyAlignment="1">
      <alignment horizontal="center" vertical="center"/>
    </xf>
    <xf numFmtId="173" fontId="6" fillId="0" borderId="9" xfId="0" applyNumberFormat="1" applyFont="1" applyBorder="1" applyAlignment="1">
      <alignment horizontal="center" vertical="center"/>
    </xf>
    <xf numFmtId="173" fontId="6" fillId="0" borderId="13" xfId="0" applyNumberFormat="1" applyFont="1" applyBorder="1" applyAlignment="1">
      <alignment horizontal="center" vertical="center" wrapText="1"/>
    </xf>
    <xf numFmtId="173" fontId="6" fillId="0" borderId="14" xfId="0" applyNumberFormat="1" applyFont="1" applyBorder="1" applyAlignment="1">
      <alignment horizontal="center" vertical="center"/>
    </xf>
    <xf numFmtId="173" fontId="6" fillId="0" borderId="5" xfId="0" applyNumberFormat="1" applyFont="1" applyBorder="1" applyAlignment="1">
      <alignment horizontal="center" vertical="center" wrapText="1"/>
    </xf>
    <xf numFmtId="0" fontId="6" fillId="0" borderId="4" xfId="0" applyFont="1" applyBorder="1" applyAlignment="1">
      <alignment horizontal="center" vertical="center"/>
    </xf>
    <xf numFmtId="173" fontId="6" fillId="0" borderId="6" xfId="0" applyNumberFormat="1" applyFont="1" applyBorder="1" applyAlignment="1">
      <alignment horizontal="center" vertical="center"/>
    </xf>
    <xf numFmtId="0" fontId="6" fillId="0" borderId="3" xfId="0" applyFont="1" applyBorder="1"/>
    <xf numFmtId="175" fontId="16" fillId="0" borderId="6" xfId="0" applyNumberFormat="1"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169" fontId="16" fillId="0" borderId="8" xfId="0" applyNumberFormat="1" applyFont="1" applyBorder="1"/>
    <xf numFmtId="169" fontId="16" fillId="0" borderId="13" xfId="0" applyNumberFormat="1" applyFont="1" applyBorder="1"/>
    <xf numFmtId="169" fontId="16" fillId="0" borderId="5" xfId="0" applyNumberFormat="1" applyFont="1" applyBorder="1"/>
    <xf numFmtId="173" fontId="16" fillId="0" borderId="14" xfId="0" applyNumberFormat="1" applyFont="1" applyBorder="1"/>
    <xf numFmtId="174" fontId="16" fillId="0" borderId="14" xfId="0" applyNumberFormat="1" applyFont="1" applyBorder="1"/>
    <xf numFmtId="164" fontId="16" fillId="0" borderId="0" xfId="0" applyNumberFormat="1" applyFont="1"/>
    <xf numFmtId="173" fontId="16" fillId="0" borderId="13" xfId="0" applyNumberFormat="1" applyFont="1" applyBorder="1"/>
    <xf numFmtId="168" fontId="16" fillId="0" borderId="14" xfId="0" applyNumberFormat="1" applyFont="1" applyBorder="1"/>
    <xf numFmtId="0" fontId="2" fillId="0" borderId="12" xfId="0" applyFont="1" applyBorder="1" applyAlignment="1">
      <alignment horizontal="center"/>
    </xf>
    <xf numFmtId="0" fontId="2" fillId="0" borderId="0" xfId="0" applyFont="1" applyAlignment="1">
      <alignment horizontal="center"/>
    </xf>
    <xf numFmtId="0" fontId="2" fillId="0" borderId="4" xfId="0" applyFont="1" applyBorder="1" applyAlignment="1">
      <alignment horizontal="center"/>
    </xf>
    <xf numFmtId="0" fontId="20" fillId="0" borderId="0" xfId="2" applyFont="1" applyAlignment="1">
      <alignment horizontal="left" vertical="center"/>
    </xf>
    <xf numFmtId="0" fontId="6" fillId="0" borderId="15" xfId="0" applyFont="1" applyBorder="1" applyAlignment="1">
      <alignment horizontal="center"/>
    </xf>
    <xf numFmtId="0" fontId="6" fillId="0" borderId="15" xfId="0" applyFont="1" applyBorder="1"/>
    <xf numFmtId="0" fontId="6" fillId="0" borderId="11" xfId="0" applyFont="1" applyBorder="1"/>
    <xf numFmtId="0" fontId="6" fillId="0" borderId="12" xfId="0" applyFont="1" applyBorder="1" applyAlignment="1">
      <alignment horizontal="right"/>
    </xf>
    <xf numFmtId="0" fontId="6" fillId="0" borderId="0" xfId="0" applyFont="1" applyAlignment="1">
      <alignment horizontal="right"/>
    </xf>
    <xf numFmtId="0" fontId="6" fillId="0" borderId="4" xfId="0" applyFont="1" applyBorder="1" applyAlignment="1">
      <alignment horizontal="right"/>
    </xf>
    <xf numFmtId="173" fontId="6" fillId="0" borderId="10" xfId="0" applyNumberFormat="1" applyFont="1" applyBorder="1"/>
    <xf numFmtId="173" fontId="6" fillId="0" borderId="15" xfId="0" applyNumberFormat="1" applyFont="1" applyBorder="1"/>
    <xf numFmtId="173" fontId="6" fillId="0" borderId="11" xfId="0" applyNumberFormat="1" applyFont="1" applyBorder="1"/>
    <xf numFmtId="169" fontId="6" fillId="0" borderId="10" xfId="0" applyNumberFormat="1" applyFont="1" applyBorder="1"/>
    <xf numFmtId="169" fontId="6" fillId="0" borderId="15" xfId="0" applyNumberFormat="1" applyFont="1" applyBorder="1"/>
    <xf numFmtId="169" fontId="6" fillId="0" borderId="11" xfId="0" applyNumberFormat="1" applyFont="1" applyBorder="1"/>
    <xf numFmtId="175" fontId="6" fillId="0" borderId="11" xfId="0" applyNumberFormat="1" applyFont="1" applyBorder="1"/>
    <xf numFmtId="0" fontId="16" fillId="0" borderId="15" xfId="0" applyFont="1" applyBorder="1"/>
    <xf numFmtId="0" fontId="16" fillId="0" borderId="10" xfId="0" applyFont="1" applyBorder="1" applyAlignment="1">
      <alignment horizontal="center"/>
    </xf>
    <xf numFmtId="0" fontId="16" fillId="0" borderId="10" xfId="0" applyFont="1" applyBorder="1"/>
    <xf numFmtId="0" fontId="6" fillId="3" borderId="3" xfId="0" applyFont="1" applyFill="1" applyBorder="1" applyAlignment="1">
      <alignment horizontal="center"/>
    </xf>
    <xf numFmtId="0" fontId="6" fillId="0" borderId="17" xfId="0" applyFont="1" applyBorder="1"/>
    <xf numFmtId="0" fontId="6" fillId="0" borderId="19" xfId="0" applyFont="1" applyBorder="1"/>
    <xf numFmtId="164" fontId="6" fillId="0" borderId="13" xfId="0" applyNumberFormat="1" applyFont="1" applyBorder="1"/>
    <xf numFmtId="0" fontId="6" fillId="0" borderId="20" xfId="0" applyFont="1" applyBorder="1"/>
    <xf numFmtId="0" fontId="6" fillId="0" borderId="18" xfId="0" applyFont="1" applyBorder="1"/>
    <xf numFmtId="0" fontId="6" fillId="0" borderId="18" xfId="0" applyFont="1" applyBorder="1" applyAlignment="1">
      <alignment horizontal="left"/>
    </xf>
    <xf numFmtId="1" fontId="6" fillId="0" borderId="18" xfId="0" applyNumberFormat="1" applyFont="1" applyBorder="1"/>
    <xf numFmtId="0" fontId="2" fillId="0" borderId="0" xfId="0" applyFont="1" applyAlignment="1">
      <alignment horizontal="center" vertical="top" wrapText="1"/>
    </xf>
    <xf numFmtId="0" fontId="6" fillId="0" borderId="6" xfId="0" applyFont="1" applyBorder="1"/>
    <xf numFmtId="0" fontId="6" fillId="3" borderId="10" xfId="0" applyFont="1" applyFill="1" applyBorder="1"/>
    <xf numFmtId="0" fontId="6" fillId="3" borderId="15" xfId="0" applyFont="1" applyFill="1" applyBorder="1"/>
    <xf numFmtId="0" fontId="2" fillId="3" borderId="15" xfId="0" applyFont="1" applyFill="1" applyBorder="1" applyAlignment="1">
      <alignment horizontal="left" vertical="top" wrapText="1"/>
    </xf>
    <xf numFmtId="1" fontId="6" fillId="3" borderId="2" xfId="0" applyNumberFormat="1" applyFont="1" applyFill="1" applyBorder="1" applyAlignment="1">
      <alignment horizontal="center"/>
    </xf>
    <xf numFmtId="0" fontId="6" fillId="3" borderId="10" xfId="0" applyFont="1" applyFill="1" applyBorder="1" applyAlignment="1">
      <alignment horizontal="center"/>
    </xf>
    <xf numFmtId="0" fontId="6" fillId="3" borderId="15" xfId="0" applyFont="1" applyFill="1" applyBorder="1" applyAlignment="1">
      <alignment horizontal="center"/>
    </xf>
    <xf numFmtId="0" fontId="2" fillId="3" borderId="15" xfId="0" applyFont="1" applyFill="1" applyBorder="1" applyAlignment="1">
      <alignment horizontal="center" vertical="top" wrapText="1"/>
    </xf>
    <xf numFmtId="0" fontId="6" fillId="3" borderId="2" xfId="0" applyFont="1" applyFill="1" applyBorder="1" applyAlignment="1">
      <alignment horizontal="center"/>
    </xf>
    <xf numFmtId="0" fontId="2" fillId="0" borderId="12" xfId="0" applyFont="1" applyBorder="1" applyAlignment="1">
      <alignment horizontal="center" vertical="top" wrapText="1"/>
    </xf>
    <xf numFmtId="165" fontId="6" fillId="0" borderId="9" xfId="0" applyNumberFormat="1" applyFont="1" applyBorder="1"/>
    <xf numFmtId="165" fontId="6" fillId="0" borderId="14" xfId="0" applyNumberFormat="1" applyFont="1" applyBorder="1"/>
    <xf numFmtId="164" fontId="6" fillId="0" borderId="0" xfId="0" applyNumberFormat="1" applyFont="1" applyAlignment="1">
      <alignment horizontal="center"/>
    </xf>
    <xf numFmtId="164" fontId="6" fillId="0" borderId="4" xfId="0" applyNumberFormat="1" applyFont="1" applyBorder="1" applyAlignment="1">
      <alignment horizontal="center"/>
    </xf>
    <xf numFmtId="11" fontId="0" fillId="0" borderId="0" xfId="0" applyNumberFormat="1"/>
    <xf numFmtId="10" fontId="0" fillId="0" borderId="22" xfId="1" applyNumberFormat="1" applyFont="1" applyBorder="1"/>
    <xf numFmtId="2" fontId="0" fillId="0" borderId="22" xfId="0" applyNumberFormat="1" applyBorder="1"/>
    <xf numFmtId="2" fontId="20" fillId="0" borderId="22" xfId="0" applyNumberFormat="1" applyFont="1" applyBorder="1"/>
    <xf numFmtId="0" fontId="0" fillId="0" borderId="23" xfId="0" applyBorder="1"/>
    <xf numFmtId="10" fontId="0" fillId="0" borderId="0" xfId="1" applyNumberFormat="1" applyFont="1" applyBorder="1"/>
    <xf numFmtId="2" fontId="20" fillId="0" borderId="0" xfId="0" applyNumberFormat="1" applyFont="1"/>
    <xf numFmtId="10" fontId="0" fillId="0" borderId="18" xfId="1" applyNumberFormat="1" applyFont="1" applyBorder="1"/>
    <xf numFmtId="2" fontId="0" fillId="0" borderId="18" xfId="0" applyNumberFormat="1" applyBorder="1"/>
    <xf numFmtId="11" fontId="0" fillId="0" borderId="0" xfId="1" applyNumberFormat="1" applyFont="1"/>
    <xf numFmtId="11" fontId="0" fillId="0" borderId="22" xfId="1" applyNumberFormat="1" applyFont="1" applyBorder="1"/>
    <xf numFmtId="0" fontId="0" fillId="0" borderId="22" xfId="0" applyBorder="1"/>
    <xf numFmtId="2" fontId="2" fillId="0" borderId="22" xfId="0" applyNumberFormat="1" applyFont="1" applyBorder="1" applyAlignment="1">
      <alignment horizontal="right"/>
    </xf>
    <xf numFmtId="167" fontId="6" fillId="0" borderId="0" xfId="0" applyNumberFormat="1" applyFont="1"/>
    <xf numFmtId="0" fontId="6" fillId="6" borderId="0" xfId="0" applyFont="1" applyFill="1"/>
    <xf numFmtId="0" fontId="6" fillId="6" borderId="8" xfId="0" applyFont="1" applyFill="1" applyBorder="1"/>
    <xf numFmtId="0" fontId="6" fillId="6" borderId="9" xfId="0" applyFont="1" applyFill="1" applyBorder="1" applyAlignment="1">
      <alignment horizontal="center"/>
    </xf>
    <xf numFmtId="0" fontId="6" fillId="6" borderId="12" xfId="0" applyFont="1" applyFill="1" applyBorder="1" applyAlignment="1">
      <alignment horizontal="center"/>
    </xf>
    <xf numFmtId="165" fontId="6" fillId="6" borderId="12" xfId="0" applyNumberFormat="1" applyFont="1" applyFill="1" applyBorder="1" applyAlignment="1">
      <alignment horizontal="center"/>
    </xf>
    <xf numFmtId="2" fontId="6" fillId="6" borderId="12" xfId="0" applyNumberFormat="1" applyFont="1" applyFill="1" applyBorder="1" applyAlignment="1">
      <alignment horizontal="center"/>
    </xf>
    <xf numFmtId="0" fontId="6" fillId="6" borderId="5" xfId="0" applyFont="1" applyFill="1" applyBorder="1"/>
    <xf numFmtId="0" fontId="6" fillId="6" borderId="6" xfId="0" applyFont="1" applyFill="1" applyBorder="1" applyAlignment="1">
      <alignment horizontal="center"/>
    </xf>
    <xf numFmtId="0" fontId="6" fillId="6" borderId="4" xfId="0" applyFont="1" applyFill="1" applyBorder="1" applyAlignment="1">
      <alignment horizontal="center"/>
    </xf>
    <xf numFmtId="2" fontId="6" fillId="6" borderId="4" xfId="0" applyNumberFormat="1" applyFont="1" applyFill="1" applyBorder="1"/>
    <xf numFmtId="165" fontId="6" fillId="6" borderId="4" xfId="0" applyNumberFormat="1" applyFont="1" applyFill="1" applyBorder="1"/>
    <xf numFmtId="0" fontId="6" fillId="6" borderId="4" xfId="0" applyFont="1" applyFill="1" applyBorder="1"/>
    <xf numFmtId="173" fontId="6" fillId="6" borderId="4" xfId="0" applyNumberFormat="1" applyFont="1" applyFill="1" applyBorder="1"/>
    <xf numFmtId="0" fontId="2" fillId="6" borderId="12" xfId="0" applyFont="1" applyFill="1" applyBorder="1"/>
    <xf numFmtId="0" fontId="2" fillId="6" borderId="9" xfId="0" applyFont="1" applyFill="1" applyBorder="1" applyAlignment="1">
      <alignment horizontal="center"/>
    </xf>
    <xf numFmtId="0" fontId="6" fillId="6" borderId="13" xfId="0" applyFont="1" applyFill="1" applyBorder="1"/>
    <xf numFmtId="0" fontId="6" fillId="6" borderId="14" xfId="0" applyFont="1" applyFill="1" applyBorder="1" applyAlignment="1">
      <alignment horizontal="center"/>
    </xf>
    <xf numFmtId="165" fontId="2" fillId="6" borderId="0" xfId="0" applyNumberFormat="1" applyFont="1" applyFill="1"/>
    <xf numFmtId="165" fontId="11" fillId="6" borderId="0" xfId="0" applyNumberFormat="1" applyFont="1" applyFill="1"/>
    <xf numFmtId="165" fontId="6" fillId="6" borderId="0" xfId="0" applyNumberFormat="1" applyFont="1" applyFill="1"/>
    <xf numFmtId="165" fontId="2" fillId="6" borderId="14" xfId="0" applyNumberFormat="1" applyFont="1" applyFill="1" applyBorder="1" applyAlignment="1">
      <alignment horizontal="center"/>
    </xf>
    <xf numFmtId="165" fontId="2" fillId="6" borderId="4" xfId="0" applyNumberFormat="1" applyFont="1" applyFill="1" applyBorder="1"/>
    <xf numFmtId="165" fontId="2" fillId="6" borderId="6" xfId="0" applyNumberFormat="1" applyFont="1" applyFill="1" applyBorder="1" applyAlignment="1">
      <alignment horizontal="center"/>
    </xf>
    <xf numFmtId="0" fontId="6" fillId="6" borderId="0" xfId="0" applyFont="1" applyFill="1" applyAlignment="1">
      <alignment horizontal="right"/>
    </xf>
    <xf numFmtId="164" fontId="6" fillId="6" borderId="0" xfId="0" applyNumberFormat="1" applyFont="1" applyFill="1"/>
    <xf numFmtId="10" fontId="6" fillId="6" borderId="0" xfId="1" applyNumberFormat="1" applyFont="1" applyFill="1" applyBorder="1"/>
    <xf numFmtId="2" fontId="6" fillId="0" borderId="22" xfId="0" applyNumberFormat="1" applyFont="1" applyBorder="1"/>
    <xf numFmtId="177" fontId="6" fillId="0" borderId="0" xfId="0" applyNumberFormat="1" applyFont="1"/>
    <xf numFmtId="173" fontId="6" fillId="0" borderId="0" xfId="0" applyNumberFormat="1" applyFont="1"/>
    <xf numFmtId="0" fontId="21" fillId="0" borderId="0" xfId="0" applyFont="1" applyAlignment="1">
      <alignment horizontal="center" vertical="center"/>
    </xf>
    <xf numFmtId="0" fontId="22" fillId="0" borderId="0" xfId="0" applyFont="1" applyAlignment="1">
      <alignment horizontal="center" vertical="center"/>
    </xf>
    <xf numFmtId="10" fontId="0" fillId="0" borderId="0" xfId="1" applyNumberFormat="1" applyFont="1" applyFill="1" applyBorder="1"/>
    <xf numFmtId="11" fontId="0" fillId="0" borderId="0" xfId="1" applyNumberFormat="1" applyFont="1" applyFill="1" applyBorder="1"/>
    <xf numFmtId="2" fontId="6" fillId="0" borderId="0" xfId="0" applyNumberFormat="1" applyFont="1" applyAlignment="1">
      <alignment horizontal="left"/>
    </xf>
    <xf numFmtId="0" fontId="6" fillId="0" borderId="0" xfId="0" applyFont="1" applyAlignment="1">
      <alignment vertical="center"/>
    </xf>
    <xf numFmtId="173" fontId="16" fillId="0" borderId="9" xfId="0" applyNumberFormat="1" applyFont="1" applyBorder="1"/>
    <xf numFmtId="173" fontId="16" fillId="0" borderId="6" xfId="0" applyNumberFormat="1" applyFont="1" applyBorder="1"/>
    <xf numFmtId="0" fontId="6" fillId="0" borderId="13" xfId="0" applyFont="1" applyBorder="1" applyAlignment="1">
      <alignment horizontal="center"/>
    </xf>
    <xf numFmtId="178" fontId="6" fillId="0" borderId="0" xfId="0" applyNumberFormat="1" applyFont="1"/>
    <xf numFmtId="2" fontId="6" fillId="0" borderId="15" xfId="0" applyNumberFormat="1" applyFont="1" applyBorder="1"/>
    <xf numFmtId="2" fontId="6" fillId="0" borderId="11" xfId="0" applyNumberFormat="1" applyFont="1" applyBorder="1"/>
    <xf numFmtId="179" fontId="6" fillId="0" borderId="0" xfId="1" applyNumberFormat="1" applyFont="1"/>
    <xf numFmtId="164" fontId="6" fillId="3" borderId="14" xfId="0" applyNumberFormat="1" applyFont="1" applyFill="1" applyBorder="1"/>
    <xf numFmtId="164" fontId="13" fillId="3" borderId="14" xfId="0" applyNumberFormat="1" applyFont="1" applyFill="1" applyBorder="1"/>
    <xf numFmtId="0" fontId="6" fillId="3" borderId="14" xfId="0" applyFont="1" applyFill="1" applyBorder="1"/>
    <xf numFmtId="0" fontId="2" fillId="3" borderId="15" xfId="0" applyFont="1" applyFill="1" applyBorder="1" applyAlignment="1">
      <alignment horizontal="left" wrapText="1"/>
    </xf>
    <xf numFmtId="0" fontId="2" fillId="3" borderId="15" xfId="0" applyFont="1" applyFill="1" applyBorder="1" applyAlignment="1">
      <alignment horizontal="center" wrapText="1"/>
    </xf>
    <xf numFmtId="2" fontId="6" fillId="0" borderId="12" xfId="0" applyNumberFormat="1" applyFont="1" applyBorder="1"/>
    <xf numFmtId="2" fontId="6" fillId="0" borderId="4" xfId="0" applyNumberFormat="1" applyFont="1" applyBorder="1"/>
    <xf numFmtId="164" fontId="6" fillId="0" borderId="9" xfId="0" applyNumberFormat="1" applyFont="1" applyBorder="1" applyAlignment="1">
      <alignment horizontal="center"/>
    </xf>
    <xf numFmtId="164" fontId="6" fillId="0" borderId="14" xfId="0" applyNumberFormat="1" applyFont="1" applyBorder="1" applyAlignment="1">
      <alignment horizontal="center"/>
    </xf>
    <xf numFmtId="173" fontId="6" fillId="0" borderId="14" xfId="0" applyNumberFormat="1" applyFont="1" applyBorder="1"/>
    <xf numFmtId="166" fontId="6" fillId="0" borderId="0" xfId="1" applyNumberFormat="1" applyFont="1" applyBorder="1"/>
    <xf numFmtId="0" fontId="25" fillId="0" borderId="0" xfId="0" applyFont="1" applyAlignment="1">
      <alignment vertical="center"/>
    </xf>
    <xf numFmtId="167" fontId="6" fillId="0" borderId="11" xfId="0" applyNumberFormat="1" applyFont="1" applyBorder="1" applyAlignment="1">
      <alignment horizontal="center" wrapText="1"/>
    </xf>
    <xf numFmtId="167" fontId="6" fillId="0" borderId="10" xfId="0" applyNumberFormat="1" applyFont="1" applyBorder="1" applyAlignment="1">
      <alignment horizontal="center" wrapText="1"/>
    </xf>
    <xf numFmtId="171" fontId="19" fillId="0" borderId="1" xfId="0" applyNumberFormat="1" applyFont="1" applyBorder="1" applyAlignment="1">
      <alignment horizontal="center" wrapText="1"/>
    </xf>
    <xf numFmtId="171" fontId="19" fillId="0" borderId="7" xfId="0" applyNumberFormat="1" applyFont="1" applyBorder="1" applyAlignment="1">
      <alignment horizontal="center" wrapText="1"/>
    </xf>
    <xf numFmtId="0" fontId="6" fillId="0" borderId="0" xfId="0" applyFont="1" applyAlignment="1">
      <alignment horizontal="left"/>
    </xf>
    <xf numFmtId="1" fontId="3" fillId="0" borderId="3" xfId="0" applyNumberFormat="1" applyFont="1" applyBorder="1" applyAlignment="1">
      <alignment horizontal="center" vertical="center" wrapText="1"/>
    </xf>
    <xf numFmtId="1" fontId="6" fillId="0" borderId="0" xfId="0" applyNumberFormat="1" applyFont="1" applyAlignment="1">
      <alignment horizontal="center"/>
    </xf>
    <xf numFmtId="1" fontId="3" fillId="0" borderId="0" xfId="0" applyNumberFormat="1" applyFont="1" applyAlignment="1">
      <alignment horizontal="center" vertical="center" wrapText="1"/>
    </xf>
    <xf numFmtId="165" fontId="6" fillId="0" borderId="6" xfId="0" applyNumberFormat="1" applyFont="1" applyBorder="1"/>
    <xf numFmtId="0" fontId="2" fillId="0" borderId="13" xfId="0" applyFont="1" applyBorder="1" applyAlignment="1">
      <alignment horizontal="left" vertical="top" wrapText="1"/>
    </xf>
    <xf numFmtId="0" fontId="2" fillId="0" borderId="0" xfId="0" applyFont="1" applyAlignment="1">
      <alignment horizontal="center" vertical="top"/>
    </xf>
    <xf numFmtId="1" fontId="16" fillId="0" borderId="0" xfId="0" applyNumberFormat="1" applyFont="1"/>
    <xf numFmtId="1" fontId="2" fillId="0" borderId="0" xfId="0" applyNumberFormat="1" applyFont="1" applyAlignment="1">
      <alignment horizontal="center" vertical="top" wrapText="1"/>
    </xf>
    <xf numFmtId="0" fontId="2" fillId="0" borderId="13" xfId="0" applyFont="1" applyBorder="1" applyAlignment="1">
      <alignment vertical="top"/>
    </xf>
    <xf numFmtId="0" fontId="2" fillId="0" borderId="13" xfId="0" applyFont="1" applyBorder="1" applyAlignment="1">
      <alignment horizontal="left" wrapText="1"/>
    </xf>
    <xf numFmtId="0" fontId="2" fillId="0" borderId="0" xfId="0" applyFont="1" applyAlignment="1">
      <alignment horizontal="center" wrapText="1"/>
    </xf>
    <xf numFmtId="1" fontId="4" fillId="0" borderId="0" xfId="0" applyNumberFormat="1" applyFont="1" applyAlignment="1">
      <alignment horizontal="center" wrapText="1"/>
    </xf>
    <xf numFmtId="0" fontId="5" fillId="0" borderId="13" xfId="0" applyFont="1" applyBorder="1" applyAlignment="1">
      <alignment horizontal="left" vertical="top" wrapText="1"/>
    </xf>
    <xf numFmtId="0" fontId="2" fillId="0" borderId="13" xfId="0" applyFont="1" applyBorder="1" applyAlignment="1">
      <alignment horizontal="left" vertical="top"/>
    </xf>
    <xf numFmtId="1" fontId="4" fillId="0" borderId="0" xfId="0" applyNumberFormat="1" applyFont="1" applyAlignment="1">
      <alignment horizontal="center" vertical="top" wrapText="1"/>
    </xf>
    <xf numFmtId="0" fontId="2" fillId="0" borderId="5" xfId="0" applyFont="1" applyBorder="1" applyAlignment="1">
      <alignment horizontal="left" vertical="top" wrapText="1"/>
    </xf>
    <xf numFmtId="0" fontId="2" fillId="0" borderId="4" xfId="0" applyFont="1" applyBorder="1" applyAlignment="1">
      <alignment horizontal="center" vertical="top" wrapText="1"/>
    </xf>
    <xf numFmtId="1" fontId="2" fillId="0" borderId="4" xfId="0" applyNumberFormat="1" applyFont="1" applyBorder="1" applyAlignment="1">
      <alignment horizontal="center" vertical="top" wrapText="1"/>
    </xf>
    <xf numFmtId="1" fontId="16" fillId="0" borderId="4" xfId="0" applyNumberFormat="1" applyFont="1" applyBorder="1"/>
    <xf numFmtId="0" fontId="19" fillId="0" borderId="24" xfId="0" applyFont="1" applyBorder="1" applyAlignment="1">
      <alignment horizontal="center" wrapText="1"/>
    </xf>
    <xf numFmtId="0" fontId="19" fillId="0" borderId="3" xfId="0" applyFont="1" applyBorder="1" applyAlignment="1">
      <alignment horizontal="center" wrapText="1"/>
    </xf>
    <xf numFmtId="0" fontId="19" fillId="0" borderId="7" xfId="0" applyFont="1" applyBorder="1" applyAlignment="1">
      <alignment horizontal="center" wrapText="1"/>
    </xf>
    <xf numFmtId="166" fontId="6" fillId="0" borderId="14" xfId="1" applyNumberFormat="1" applyFont="1" applyBorder="1"/>
    <xf numFmtId="166" fontId="6" fillId="0" borderId="4" xfId="1" applyNumberFormat="1" applyFont="1" applyBorder="1"/>
    <xf numFmtId="166" fontId="6" fillId="0" borderId="6" xfId="1" applyNumberFormat="1" applyFont="1" applyBorder="1"/>
    <xf numFmtId="1" fontId="6" fillId="0" borderId="0" xfId="0" applyNumberFormat="1" applyFont="1" applyAlignment="1">
      <alignment vertical="top"/>
    </xf>
    <xf numFmtId="165" fontId="6" fillId="0" borderId="0" xfId="0" applyNumberFormat="1" applyFont="1" applyAlignment="1">
      <alignment vertical="top"/>
    </xf>
    <xf numFmtId="1" fontId="16" fillId="0" borderId="0" xfId="0" applyNumberFormat="1" applyFont="1" applyAlignment="1">
      <alignment vertical="top"/>
    </xf>
    <xf numFmtId="165" fontId="6" fillId="0" borderId="14" xfId="0" applyNumberFormat="1" applyFont="1" applyBorder="1" applyAlignment="1">
      <alignment vertical="top"/>
    </xf>
    <xf numFmtId="166" fontId="6" fillId="0" borderId="0" xfId="1" applyNumberFormat="1" applyFont="1" applyBorder="1" applyAlignment="1">
      <alignment vertical="top"/>
    </xf>
    <xf numFmtId="166" fontId="6" fillId="0" borderId="14" xfId="1" applyNumberFormat="1" applyFont="1" applyBorder="1" applyAlignment="1">
      <alignment vertical="top"/>
    </xf>
    <xf numFmtId="0" fontId="6" fillId="0" borderId="0" xfId="0" applyFont="1" applyAlignment="1">
      <alignment vertical="top"/>
    </xf>
    <xf numFmtId="3" fontId="24" fillId="0" borderId="0" xfId="0" applyNumberFormat="1" applyFont="1" applyAlignment="1">
      <alignment horizontal="center" vertical="center"/>
    </xf>
    <xf numFmtId="0" fontId="24" fillId="0" borderId="0" xfId="0" applyFont="1" applyAlignment="1">
      <alignment horizontal="center" vertical="center"/>
    </xf>
    <xf numFmtId="0" fontId="3" fillId="0" borderId="0" xfId="0" applyFont="1" applyAlignment="1">
      <alignment horizontal="center" vertical="top" wrapText="1"/>
    </xf>
    <xf numFmtId="3" fontId="24" fillId="0" borderId="0" xfId="0" applyNumberFormat="1" applyFont="1" applyAlignment="1">
      <alignment horizontal="center" vertical="top"/>
    </xf>
    <xf numFmtId="0" fontId="24" fillId="0" borderId="0" xfId="0" applyFont="1" applyAlignment="1">
      <alignment horizontal="center" vertical="top"/>
    </xf>
    <xf numFmtId="3" fontId="24" fillId="0" borderId="13" xfId="0" applyNumberFormat="1" applyFont="1" applyBorder="1" applyAlignment="1">
      <alignment horizontal="center" vertical="center" wrapText="1"/>
    </xf>
    <xf numFmtId="3" fontId="24" fillId="0" borderId="13" xfId="0" applyNumberFormat="1" applyFont="1" applyBorder="1" applyAlignment="1">
      <alignment horizontal="center" vertical="top" wrapText="1"/>
    </xf>
    <xf numFmtId="3" fontId="24" fillId="0" borderId="5" xfId="0" applyNumberFormat="1" applyFont="1" applyBorder="1" applyAlignment="1">
      <alignment horizontal="center" vertical="center" wrapText="1"/>
    </xf>
    <xf numFmtId="3" fontId="24" fillId="0" borderId="4" xfId="0" applyNumberFormat="1" applyFont="1" applyBorder="1" applyAlignment="1">
      <alignment horizontal="center" vertical="center"/>
    </xf>
    <xf numFmtId="0" fontId="24" fillId="0" borderId="4" xfId="0" applyFont="1" applyBorder="1" applyAlignment="1">
      <alignment horizontal="center" vertical="center"/>
    </xf>
    <xf numFmtId="0" fontId="27" fillId="0" borderId="7" xfId="0" applyFont="1" applyBorder="1" applyAlignment="1">
      <alignment horizontal="center" vertical="center" wrapText="1"/>
    </xf>
    <xf numFmtId="0" fontId="19" fillId="0" borderId="1" xfId="0" applyFont="1" applyBorder="1"/>
    <xf numFmtId="0" fontId="19" fillId="0" borderId="2" xfId="0" applyFont="1" applyBorder="1"/>
    <xf numFmtId="0" fontId="19" fillId="0" borderId="3" xfId="0" applyFont="1" applyBorder="1"/>
    <xf numFmtId="0" fontId="19" fillId="0" borderId="7" xfId="0" applyFont="1" applyBorder="1"/>
    <xf numFmtId="173" fontId="6" fillId="0" borderId="9" xfId="0" applyNumberFormat="1" applyFont="1" applyBorder="1"/>
    <xf numFmtId="173" fontId="6" fillId="0" borderId="6" xfId="0" applyNumberFormat="1" applyFont="1" applyBorder="1"/>
    <xf numFmtId="176" fontId="6" fillId="0" borderId="0" xfId="0" applyNumberFormat="1" applyFont="1"/>
    <xf numFmtId="165" fontId="6" fillId="0" borderId="8" xfId="0" applyNumberFormat="1" applyFont="1" applyBorder="1"/>
    <xf numFmtId="165" fontId="6" fillId="0" borderId="5" xfId="0" applyNumberFormat="1" applyFont="1" applyBorder="1"/>
    <xf numFmtId="0" fontId="19" fillId="0" borderId="7" xfId="0" applyFont="1" applyBorder="1" applyAlignment="1">
      <alignment horizontal="center"/>
    </xf>
    <xf numFmtId="0" fontId="19" fillId="0" borderId="9" xfId="0" applyFont="1" applyBorder="1" applyAlignment="1">
      <alignment horizontal="center"/>
    </xf>
    <xf numFmtId="0" fontId="19" fillId="0" borderId="8" xfId="0" applyFont="1" applyBorder="1" applyAlignment="1">
      <alignment horizontal="center"/>
    </xf>
    <xf numFmtId="165" fontId="6" fillId="0" borderId="13" xfId="0" applyNumberFormat="1" applyFont="1" applyBorder="1"/>
    <xf numFmtId="0" fontId="2" fillId="0" borderId="15" xfId="0" applyFont="1" applyBorder="1" applyAlignment="1">
      <alignment horizontal="center" vertical="top" wrapText="1"/>
    </xf>
    <xf numFmtId="0" fontId="2" fillId="0" borderId="11" xfId="0" applyFont="1" applyBorder="1" applyAlignment="1">
      <alignment horizontal="center" vertical="top" wrapText="1"/>
    </xf>
    <xf numFmtId="165" fontId="6" fillId="3" borderId="0" xfId="0" applyNumberFormat="1" applyFont="1" applyFill="1"/>
    <xf numFmtId="0" fontId="6" fillId="3" borderId="0" xfId="0" applyFont="1" applyFill="1" applyAlignment="1">
      <alignment horizontal="center"/>
    </xf>
    <xf numFmtId="0" fontId="6" fillId="3" borderId="0" xfId="0" applyFont="1" applyFill="1"/>
    <xf numFmtId="164" fontId="6" fillId="3" borderId="0" xfId="0" applyNumberFormat="1" applyFont="1" applyFill="1"/>
    <xf numFmtId="164" fontId="6" fillId="5" borderId="0" xfId="0" applyNumberFormat="1" applyFont="1" applyFill="1"/>
    <xf numFmtId="169" fontId="6" fillId="3" borderId="0" xfId="0" applyNumberFormat="1" applyFont="1" applyFill="1" applyAlignment="1">
      <alignment horizontal="center"/>
    </xf>
    <xf numFmtId="170" fontId="2" fillId="3" borderId="0" xfId="0" applyNumberFormat="1" applyFont="1" applyFill="1" applyAlignment="1">
      <alignment horizontal="left"/>
    </xf>
    <xf numFmtId="164" fontId="4" fillId="2" borderId="0" xfId="0" applyNumberFormat="1" applyFont="1" applyFill="1"/>
    <xf numFmtId="172" fontId="6" fillId="3" borderId="0" xfId="0" quotePrefix="1" applyNumberFormat="1" applyFont="1" applyFill="1" applyAlignment="1">
      <alignment horizontal="right"/>
    </xf>
    <xf numFmtId="164" fontId="13" fillId="3" borderId="0" xfId="0" applyNumberFormat="1" applyFont="1" applyFill="1"/>
    <xf numFmtId="170" fontId="13" fillId="3" borderId="0" xfId="0" applyNumberFormat="1" applyFont="1" applyFill="1" applyAlignment="1">
      <alignment horizontal="left"/>
    </xf>
    <xf numFmtId="0" fontId="6" fillId="3" borderId="0" xfId="0" quotePrefix="1" applyFont="1" applyFill="1" applyAlignment="1">
      <alignment horizontal="right"/>
    </xf>
    <xf numFmtId="0" fontId="4" fillId="3" borderId="0" xfId="0" quotePrefix="1" applyFont="1" applyFill="1" applyAlignment="1">
      <alignment horizontal="right"/>
    </xf>
    <xf numFmtId="164" fontId="4" fillId="3" borderId="0" xfId="0" applyNumberFormat="1" applyFont="1" applyFill="1"/>
    <xf numFmtId="0" fontId="4" fillId="3" borderId="0" xfId="0" applyFont="1" applyFill="1" applyAlignment="1">
      <alignment horizontal="right"/>
    </xf>
    <xf numFmtId="0" fontId="6" fillId="3" borderId="0" xfId="0" applyFont="1" applyFill="1" applyAlignment="1">
      <alignment horizontal="right"/>
    </xf>
    <xf numFmtId="165" fontId="6" fillId="3" borderId="12" xfId="0" applyNumberFormat="1" applyFont="1" applyFill="1" applyBorder="1"/>
    <xf numFmtId="0" fontId="6" fillId="3" borderId="12" xfId="0" applyFont="1" applyFill="1" applyBorder="1" applyAlignment="1">
      <alignment horizontal="center"/>
    </xf>
    <xf numFmtId="0" fontId="6" fillId="3" borderId="12" xfId="0" applyFont="1" applyFill="1" applyBorder="1"/>
    <xf numFmtId="164" fontId="6" fillId="3" borderId="12" xfId="0" applyNumberFormat="1" applyFont="1" applyFill="1" applyBorder="1"/>
    <xf numFmtId="164" fontId="6" fillId="5" borderId="12" xfId="0" applyNumberFormat="1" applyFont="1" applyFill="1" applyBorder="1"/>
    <xf numFmtId="169" fontId="6" fillId="3" borderId="12" xfId="0" applyNumberFormat="1" applyFont="1" applyFill="1" applyBorder="1" applyAlignment="1">
      <alignment horizontal="center"/>
    </xf>
    <xf numFmtId="170" fontId="2" fillId="3" borderId="12" xfId="0" applyNumberFormat="1" applyFont="1" applyFill="1" applyBorder="1" applyAlignment="1">
      <alignment horizontal="left"/>
    </xf>
    <xf numFmtId="164" fontId="4" fillId="2" borderId="12" xfId="0" applyNumberFormat="1" applyFont="1" applyFill="1" applyBorder="1"/>
    <xf numFmtId="172" fontId="6" fillId="3" borderId="12" xfId="0" quotePrefix="1" applyNumberFormat="1" applyFont="1" applyFill="1" applyBorder="1" applyAlignment="1">
      <alignment horizontal="right"/>
    </xf>
    <xf numFmtId="164" fontId="6" fillId="3" borderId="9" xfId="0" applyNumberFormat="1" applyFont="1" applyFill="1" applyBorder="1"/>
    <xf numFmtId="165" fontId="6" fillId="3" borderId="4" xfId="0" applyNumberFormat="1" applyFont="1" applyFill="1" applyBorder="1"/>
    <xf numFmtId="0" fontId="6" fillId="3" borderId="4" xfId="0" applyFont="1" applyFill="1" applyBorder="1"/>
    <xf numFmtId="164" fontId="6" fillId="3" borderId="4" xfId="0" applyNumberFormat="1" applyFont="1" applyFill="1" applyBorder="1"/>
    <xf numFmtId="0" fontId="6" fillId="3" borderId="4" xfId="0" applyFont="1" applyFill="1" applyBorder="1" applyAlignment="1">
      <alignment horizontal="center"/>
    </xf>
    <xf numFmtId="164" fontId="13" fillId="3" borderId="4" xfId="0" applyNumberFormat="1" applyFont="1" applyFill="1" applyBorder="1"/>
    <xf numFmtId="168" fontId="6" fillId="3" borderId="4" xfId="0" applyNumberFormat="1" applyFont="1" applyFill="1" applyBorder="1" applyAlignment="1">
      <alignment horizontal="center"/>
    </xf>
    <xf numFmtId="0" fontId="6" fillId="3" borderId="6" xfId="0" applyFont="1" applyFill="1" applyBorder="1"/>
    <xf numFmtId="0" fontId="6" fillId="3" borderId="14" xfId="0" applyFont="1" applyFill="1" applyBorder="1" applyAlignment="1">
      <alignment horizontal="center"/>
    </xf>
    <xf numFmtId="0" fontId="6" fillId="3" borderId="11" xfId="0" applyFont="1" applyFill="1" applyBorder="1"/>
    <xf numFmtId="1" fontId="3" fillId="3" borderId="1" xfId="0" applyNumberFormat="1" applyFont="1" applyFill="1" applyBorder="1" applyAlignment="1">
      <alignment horizontal="center" vertical="center" wrapText="1"/>
    </xf>
    <xf numFmtId="165" fontId="6" fillId="3" borderId="8" xfId="0" applyNumberFormat="1" applyFont="1" applyFill="1" applyBorder="1"/>
    <xf numFmtId="165" fontId="6" fillId="3" borderId="13" xfId="0" applyNumberFormat="1" applyFont="1" applyFill="1" applyBorder="1"/>
    <xf numFmtId="165" fontId="6" fillId="3" borderId="5" xfId="0" applyNumberFormat="1" applyFont="1" applyFill="1" applyBorder="1"/>
    <xf numFmtId="2" fontId="6" fillId="0" borderId="4" xfId="0" applyNumberFormat="1" applyFont="1" applyBorder="1" applyAlignment="1">
      <alignment horizontal="center"/>
    </xf>
    <xf numFmtId="170" fontId="13" fillId="3" borderId="4" xfId="0" applyNumberFormat="1" applyFont="1" applyFill="1" applyBorder="1" applyAlignment="1">
      <alignment horizontal="left"/>
    </xf>
    <xf numFmtId="0" fontId="2" fillId="7" borderId="15" xfId="0" applyFont="1" applyFill="1" applyBorder="1" applyAlignment="1">
      <alignment horizontal="left" vertical="top" wrapText="1"/>
    </xf>
    <xf numFmtId="0" fontId="2" fillId="7" borderId="15" xfId="0" applyFont="1" applyFill="1" applyBorder="1" applyAlignment="1">
      <alignment horizontal="center" vertical="top" wrapText="1"/>
    </xf>
    <xf numFmtId="165" fontId="6" fillId="7" borderId="8" xfId="0" applyNumberFormat="1" applyFont="1" applyFill="1" applyBorder="1"/>
    <xf numFmtId="165" fontId="6" fillId="7" borderId="12" xfId="0" applyNumberFormat="1" applyFont="1" applyFill="1" applyBorder="1"/>
    <xf numFmtId="0" fontId="6" fillId="7" borderId="12" xfId="0" applyFont="1" applyFill="1" applyBorder="1" applyAlignment="1">
      <alignment horizontal="center"/>
    </xf>
    <xf numFmtId="0" fontId="6" fillId="7" borderId="12" xfId="0" applyFont="1" applyFill="1" applyBorder="1"/>
    <xf numFmtId="169" fontId="6" fillId="7" borderId="12" xfId="0" applyNumberFormat="1" applyFont="1" applyFill="1" applyBorder="1"/>
    <xf numFmtId="167" fontId="6" fillId="7" borderId="12" xfId="0" applyNumberFormat="1" applyFont="1" applyFill="1" applyBorder="1"/>
    <xf numFmtId="164" fontId="6" fillId="7" borderId="9" xfId="0" applyNumberFormat="1" applyFont="1" applyFill="1" applyBorder="1"/>
    <xf numFmtId="165" fontId="6" fillId="7" borderId="13" xfId="0" applyNumberFormat="1" applyFont="1" applyFill="1" applyBorder="1"/>
    <xf numFmtId="165" fontId="6" fillId="7" borderId="0" xfId="0" applyNumberFormat="1" applyFont="1" applyFill="1"/>
    <xf numFmtId="0" fontId="6" fillId="7" borderId="0" xfId="0" applyFont="1" applyFill="1" applyAlignment="1">
      <alignment horizontal="center"/>
    </xf>
    <xf numFmtId="0" fontId="6" fillId="7" borderId="0" xfId="0" applyFont="1" applyFill="1"/>
    <xf numFmtId="169" fontId="6" fillId="7" borderId="0" xfId="0" applyNumberFormat="1" applyFont="1" applyFill="1"/>
    <xf numFmtId="167" fontId="6" fillId="7" borderId="0" xfId="0" applyNumberFormat="1" applyFont="1" applyFill="1"/>
    <xf numFmtId="164" fontId="6" fillId="7" borderId="14" xfId="0" applyNumberFormat="1" applyFont="1" applyFill="1" applyBorder="1"/>
    <xf numFmtId="0" fontId="2" fillId="7" borderId="15" xfId="0" applyFont="1" applyFill="1" applyBorder="1" applyAlignment="1">
      <alignment horizontal="left" wrapText="1"/>
    </xf>
    <xf numFmtId="0" fontId="2" fillId="7" borderId="15" xfId="0" applyFont="1" applyFill="1" applyBorder="1" applyAlignment="1">
      <alignment horizontal="center" wrapText="1"/>
    </xf>
    <xf numFmtId="165" fontId="6" fillId="7" borderId="5" xfId="0" applyNumberFormat="1" applyFont="1" applyFill="1" applyBorder="1"/>
    <xf numFmtId="165" fontId="6" fillId="7" borderId="4" xfId="0" applyNumberFormat="1" applyFont="1" applyFill="1" applyBorder="1"/>
    <xf numFmtId="0" fontId="6" fillId="7" borderId="4" xfId="0" applyFont="1" applyFill="1" applyBorder="1"/>
    <xf numFmtId="164" fontId="6" fillId="7" borderId="4" xfId="0" applyNumberFormat="1" applyFont="1" applyFill="1" applyBorder="1"/>
    <xf numFmtId="0" fontId="6" fillId="7" borderId="4" xfId="0" applyFont="1" applyFill="1" applyBorder="1" applyAlignment="1">
      <alignment horizontal="center"/>
    </xf>
    <xf numFmtId="164" fontId="13" fillId="7" borderId="6" xfId="0" applyNumberFormat="1" applyFont="1" applyFill="1" applyBorder="1" applyAlignment="1">
      <alignment vertical="top"/>
    </xf>
    <xf numFmtId="164" fontId="13" fillId="0" borderId="0" xfId="0" applyNumberFormat="1" applyFont="1"/>
    <xf numFmtId="168" fontId="6" fillId="0" borderId="0" xfId="0" applyNumberFormat="1" applyFont="1" applyAlignment="1">
      <alignment horizontal="center"/>
    </xf>
    <xf numFmtId="170" fontId="13" fillId="0" borderId="0" xfId="0" applyNumberFormat="1" applyFont="1" applyAlignment="1">
      <alignment horizontal="left"/>
    </xf>
    <xf numFmtId="164" fontId="13" fillId="0" borderId="0" xfId="0" applyNumberFormat="1" applyFont="1" applyAlignment="1">
      <alignment vertical="top"/>
    </xf>
    <xf numFmtId="0" fontId="2" fillId="3" borderId="14" xfId="0" applyFont="1" applyFill="1" applyBorder="1" applyAlignment="1">
      <alignment horizontal="center" vertical="top" wrapText="1"/>
    </xf>
    <xf numFmtId="0" fontId="2" fillId="3" borderId="14" xfId="0" applyFont="1" applyFill="1" applyBorder="1" applyAlignment="1">
      <alignment horizontal="center" wrapText="1"/>
    </xf>
    <xf numFmtId="0" fontId="6" fillId="3" borderId="6" xfId="0" applyFont="1" applyFill="1" applyBorder="1" applyAlignment="1">
      <alignment horizontal="center"/>
    </xf>
    <xf numFmtId="0" fontId="6" fillId="0" borderId="14" xfId="0" applyFont="1" applyBorder="1" applyAlignment="1">
      <alignment horizontal="center"/>
    </xf>
    <xf numFmtId="0" fontId="2" fillId="3" borderId="10" xfId="0" applyFont="1" applyFill="1" applyBorder="1" applyAlignment="1">
      <alignment horizontal="left" vertical="top" wrapText="1"/>
    </xf>
    <xf numFmtId="0" fontId="2" fillId="7" borderId="10" xfId="0" applyFont="1" applyFill="1" applyBorder="1" applyAlignment="1">
      <alignment horizontal="center" vertical="top" wrapText="1"/>
    </xf>
    <xf numFmtId="0" fontId="6" fillId="7" borderId="11" xfId="0" applyFont="1" applyFill="1" applyBorder="1" applyAlignment="1">
      <alignment horizontal="center"/>
    </xf>
    <xf numFmtId="0" fontId="2" fillId="7" borderId="10" xfId="0" applyFont="1" applyFill="1" applyBorder="1" applyAlignment="1">
      <alignment horizontal="left" vertical="top" wrapText="1"/>
    </xf>
    <xf numFmtId="0" fontId="6" fillId="7" borderId="11" xfId="0" applyFont="1" applyFill="1" applyBorder="1"/>
    <xf numFmtId="164" fontId="13" fillId="7" borderId="3" xfId="0" applyNumberFormat="1" applyFont="1" applyFill="1" applyBorder="1" applyAlignment="1">
      <alignment vertical="top"/>
    </xf>
    <xf numFmtId="0" fontId="28" fillId="7" borderId="7" xfId="0" applyFont="1" applyFill="1" applyBorder="1" applyAlignment="1">
      <alignment horizontal="center" vertical="top" wrapText="1"/>
    </xf>
    <xf numFmtId="0" fontId="6" fillId="7" borderId="7" xfId="0" applyFont="1" applyFill="1" applyBorder="1" applyAlignment="1">
      <alignment horizontal="center" vertical="top"/>
    </xf>
    <xf numFmtId="0" fontId="6" fillId="7" borderId="2" xfId="0" applyFont="1" applyFill="1" applyBorder="1" applyAlignment="1">
      <alignment vertical="top"/>
    </xf>
    <xf numFmtId="164" fontId="6" fillId="7" borderId="2" xfId="0" applyNumberFormat="1" applyFont="1" applyFill="1" applyBorder="1" applyAlignment="1">
      <alignment vertical="top"/>
    </xf>
    <xf numFmtId="1" fontId="3" fillId="7" borderId="1" xfId="0" applyNumberFormat="1" applyFont="1" applyFill="1" applyBorder="1" applyAlignment="1">
      <alignment horizontal="center" vertical="top" wrapText="1"/>
    </xf>
    <xf numFmtId="1" fontId="3" fillId="7" borderId="3" xfId="0" applyNumberFormat="1" applyFont="1" applyFill="1" applyBorder="1" applyAlignment="1">
      <alignment horizontal="center" vertical="top" wrapText="1"/>
    </xf>
    <xf numFmtId="0" fontId="6" fillId="7" borderId="3" xfId="0" applyFont="1" applyFill="1" applyBorder="1" applyAlignment="1">
      <alignment horizontal="center" vertical="top"/>
    </xf>
    <xf numFmtId="0" fontId="6" fillId="7" borderId="1" xfId="0" applyFont="1" applyFill="1" applyBorder="1" applyAlignment="1">
      <alignment horizontal="center" vertical="top"/>
    </xf>
    <xf numFmtId="2" fontId="6" fillId="0" borderId="12" xfId="0" applyNumberFormat="1" applyFont="1" applyBorder="1" applyAlignment="1">
      <alignment horizontal="center"/>
    </xf>
    <xf numFmtId="0" fontId="19" fillId="0" borderId="12" xfId="0" applyFont="1" applyBorder="1"/>
    <xf numFmtId="0" fontId="19" fillId="0" borderId="12" xfId="0" applyFont="1" applyBorder="1" applyAlignment="1">
      <alignment horizontal="center"/>
    </xf>
    <xf numFmtId="0" fontId="0" fillId="0" borderId="12" xfId="0" applyBorder="1"/>
    <xf numFmtId="2" fontId="20" fillId="0" borderId="12" xfId="0" applyNumberFormat="1" applyFont="1" applyBorder="1"/>
    <xf numFmtId="10" fontId="0" fillId="0" borderId="12" xfId="1" applyNumberFormat="1" applyFont="1" applyBorder="1"/>
    <xf numFmtId="0" fontId="0" fillId="0" borderId="9" xfId="0" applyBorder="1"/>
    <xf numFmtId="2" fontId="20" fillId="0" borderId="4" xfId="0" applyNumberFormat="1" applyFont="1" applyBorder="1"/>
    <xf numFmtId="10" fontId="0" fillId="0" borderId="4" xfId="1" applyNumberFormat="1" applyFont="1" applyBorder="1"/>
    <xf numFmtId="0" fontId="0" fillId="0" borderId="6" xfId="0" applyBorder="1"/>
    <xf numFmtId="0" fontId="19" fillId="0" borderId="3" xfId="0" applyFont="1" applyBorder="1" applyAlignment="1">
      <alignment horizontal="center" vertical="top" wrapText="1"/>
    </xf>
    <xf numFmtId="0" fontId="19" fillId="0" borderId="1" xfId="0" applyFont="1" applyBorder="1" applyAlignment="1">
      <alignment horizontal="center" vertical="top" wrapText="1"/>
    </xf>
    <xf numFmtId="0" fontId="19" fillId="0" borderId="2" xfId="0" applyFont="1" applyBorder="1" applyAlignment="1">
      <alignment horizontal="center" vertical="top" wrapText="1"/>
    </xf>
    <xf numFmtId="0" fontId="19" fillId="0" borderId="8" xfId="0" applyFont="1" applyBorder="1" applyAlignment="1">
      <alignment horizontal="right"/>
    </xf>
    <xf numFmtId="0" fontId="19" fillId="0" borderId="5" xfId="0" applyFont="1" applyBorder="1" applyAlignment="1">
      <alignment horizontal="right"/>
    </xf>
    <xf numFmtId="0" fontId="0" fillId="0" borderId="8" xfId="0" applyBorder="1"/>
    <xf numFmtId="0" fontId="0" fillId="0" borderId="13" xfId="0" applyBorder="1"/>
    <xf numFmtId="2" fontId="0" fillId="0" borderId="26" xfId="0" applyNumberFormat="1" applyBorder="1"/>
    <xf numFmtId="11" fontId="0" fillId="0" borderId="25" xfId="1" applyNumberFormat="1" applyFont="1" applyBorder="1"/>
    <xf numFmtId="164" fontId="0" fillId="0" borderId="13" xfId="0" applyNumberFormat="1" applyBorder="1"/>
    <xf numFmtId="11" fontId="0" fillId="0" borderId="14" xfId="1" applyNumberFormat="1" applyFont="1" applyBorder="1"/>
    <xf numFmtId="2" fontId="0" fillId="0" borderId="13" xfId="0" applyNumberFormat="1" applyBorder="1"/>
    <xf numFmtId="0" fontId="0" fillId="0" borderId="2" xfId="0" applyBorder="1"/>
    <xf numFmtId="0" fontId="0" fillId="0" borderId="1" xfId="0" applyBorder="1"/>
    <xf numFmtId="11" fontId="0" fillId="0" borderId="3" xfId="0" applyNumberFormat="1" applyBorder="1"/>
    <xf numFmtId="2" fontId="0" fillId="0" borderId="8" xfId="0" applyNumberFormat="1" applyBorder="1"/>
    <xf numFmtId="11" fontId="0" fillId="0" borderId="9" xfId="1" applyNumberFormat="1" applyFont="1" applyBorder="1"/>
    <xf numFmtId="164" fontId="20" fillId="0" borderId="0" xfId="0" applyNumberFormat="1" applyFont="1"/>
    <xf numFmtId="2" fontId="0" fillId="0" borderId="9" xfId="0" applyNumberFormat="1" applyBorder="1"/>
    <xf numFmtId="164" fontId="0" fillId="0" borderId="14" xfId="0" applyNumberFormat="1" applyBorder="1"/>
    <xf numFmtId="2" fontId="0" fillId="0" borderId="14" xfId="0" applyNumberFormat="1" applyBorder="1"/>
    <xf numFmtId="0" fontId="0" fillId="0" borderId="3" xfId="0" applyBorder="1"/>
    <xf numFmtId="0" fontId="0" fillId="0" borderId="10" xfId="0" applyBorder="1"/>
    <xf numFmtId="0" fontId="0" fillId="0" borderId="15" xfId="0" applyBorder="1"/>
    <xf numFmtId="0" fontId="0" fillId="0" borderId="7" xfId="0" applyBorder="1"/>
    <xf numFmtId="11" fontId="0" fillId="0" borderId="9" xfId="0" applyNumberFormat="1" applyBorder="1"/>
    <xf numFmtId="0" fontId="0" fillId="0" borderId="5" xfId="0" applyBorder="1"/>
    <xf numFmtId="11" fontId="0" fillId="0" borderId="6" xfId="1" applyNumberFormat="1" applyFont="1" applyBorder="1"/>
    <xf numFmtId="0" fontId="19" fillId="0" borderId="6" xfId="0" applyFont="1" applyBorder="1" applyAlignment="1">
      <alignment horizontal="center" vertical="top" wrapText="1"/>
    </xf>
    <xf numFmtId="0" fontId="19" fillId="0" borderId="5" xfId="0" applyFont="1" applyBorder="1" applyAlignment="1">
      <alignment horizontal="center" vertical="top" wrapText="1"/>
    </xf>
    <xf numFmtId="0" fontId="19" fillId="0" borderId="5" xfId="0" applyFont="1" applyBorder="1" applyAlignment="1">
      <alignment horizontal="center" vertical="top"/>
    </xf>
    <xf numFmtId="0" fontId="19" fillId="0" borderId="4" xfId="0" applyFont="1" applyBorder="1" applyAlignment="1">
      <alignment horizontal="center" vertical="top" wrapText="1"/>
    </xf>
    <xf numFmtId="0" fontId="30" fillId="0" borderId="0" xfId="0" applyFont="1" applyAlignment="1">
      <alignment vertical="center"/>
    </xf>
    <xf numFmtId="10" fontId="1" fillId="0" borderId="0" xfId="1" applyNumberFormat="1" applyFont="1" applyFill="1" applyBorder="1"/>
    <xf numFmtId="11" fontId="1" fillId="0" borderId="0" xfId="1" applyNumberFormat="1" applyFont="1" applyFill="1" applyBorder="1"/>
    <xf numFmtId="0" fontId="30" fillId="0" borderId="22" xfId="0" applyFont="1" applyBorder="1" applyAlignment="1">
      <alignment vertical="center"/>
    </xf>
    <xf numFmtId="10" fontId="1" fillId="0" borderId="22" xfId="1" applyNumberFormat="1" applyFont="1" applyFill="1" applyBorder="1"/>
    <xf numFmtId="11" fontId="1" fillId="0" borderId="22" xfId="1" applyNumberFormat="1" applyFont="1" applyFill="1" applyBorder="1"/>
    <xf numFmtId="2" fontId="2" fillId="0" borderId="0" xfId="0" applyNumberFormat="1" applyFont="1"/>
    <xf numFmtId="10" fontId="6" fillId="0" borderId="0" xfId="1" applyNumberFormat="1" applyFont="1"/>
    <xf numFmtId="11" fontId="6" fillId="0" borderId="0" xfId="1" applyNumberFormat="1" applyFont="1"/>
    <xf numFmtId="0" fontId="6" fillId="0" borderId="22" xfId="0" applyFont="1" applyBorder="1"/>
    <xf numFmtId="2" fontId="2" fillId="0" borderId="22" xfId="0" applyNumberFormat="1" applyFont="1" applyBorder="1"/>
    <xf numFmtId="10" fontId="6" fillId="0" borderId="22" xfId="1" applyNumberFormat="1" applyFont="1" applyBorder="1"/>
    <xf numFmtId="11" fontId="6" fillId="0" borderId="22" xfId="1" applyNumberFormat="1" applyFont="1" applyBorder="1"/>
    <xf numFmtId="0" fontId="6" fillId="0" borderId="1" xfId="0" applyFont="1" applyBorder="1" applyAlignment="1">
      <alignment horizontal="center"/>
    </xf>
    <xf numFmtId="0" fontId="6" fillId="0" borderId="3" xfId="0" applyFont="1" applyBorder="1" applyAlignment="1">
      <alignment horizontal="center"/>
    </xf>
    <xf numFmtId="0" fontId="19" fillId="0" borderId="8" xfId="0" applyFont="1" applyBorder="1" applyAlignment="1">
      <alignment horizontal="center" wrapText="1"/>
    </xf>
    <xf numFmtId="0" fontId="19" fillId="0" borderId="9" xfId="0" applyFont="1" applyBorder="1" applyAlignment="1">
      <alignment horizontal="center"/>
    </xf>
    <xf numFmtId="0" fontId="19" fillId="0" borderId="13" xfId="0" applyFont="1" applyBorder="1" applyAlignment="1">
      <alignment horizontal="center"/>
    </xf>
    <xf numFmtId="0" fontId="19" fillId="0" borderId="14" xfId="0" applyFont="1" applyBorder="1" applyAlignment="1">
      <alignment horizontal="center"/>
    </xf>
    <xf numFmtId="0" fontId="19" fillId="0" borderId="5" xfId="0" applyFont="1" applyBorder="1" applyAlignment="1">
      <alignment horizontal="center"/>
    </xf>
    <xf numFmtId="0" fontId="19" fillId="0" borderId="6" xfId="0" applyFont="1" applyBorder="1" applyAlignment="1">
      <alignment horizontal="center"/>
    </xf>
    <xf numFmtId="0" fontId="19" fillId="0" borderId="8" xfId="0" applyFont="1" applyBorder="1" applyAlignment="1">
      <alignment horizontal="center"/>
    </xf>
    <xf numFmtId="0" fontId="19" fillId="0" borderId="1" xfId="0" applyFont="1" applyBorder="1" applyAlignment="1">
      <alignment horizontal="center"/>
    </xf>
    <xf numFmtId="0" fontId="19" fillId="0" borderId="3" xfId="0" applyFont="1" applyBorder="1" applyAlignment="1">
      <alignment horizontal="center"/>
    </xf>
    <xf numFmtId="0" fontId="19" fillId="0" borderId="1" xfId="0" applyFont="1" applyBorder="1" applyAlignment="1">
      <alignment horizontal="center" wrapText="1"/>
    </xf>
    <xf numFmtId="0" fontId="19" fillId="0" borderId="2" xfId="0" applyFont="1" applyBorder="1" applyAlignment="1">
      <alignment horizontal="center" wrapText="1"/>
    </xf>
    <xf numFmtId="0" fontId="19" fillId="0" borderId="3" xfId="0" applyFont="1" applyBorder="1" applyAlignment="1">
      <alignment horizontal="center" wrapText="1"/>
    </xf>
    <xf numFmtId="1" fontId="6" fillId="0" borderId="1" xfId="0" applyNumberFormat="1" applyFont="1" applyBorder="1" applyAlignment="1">
      <alignment horizontal="center"/>
    </xf>
    <xf numFmtId="1" fontId="6" fillId="0" borderId="3" xfId="0" applyNumberFormat="1" applyFont="1" applyBorder="1" applyAlignment="1">
      <alignment horizontal="center"/>
    </xf>
    <xf numFmtId="0" fontId="3" fillId="0" borderId="13" xfId="0" applyFont="1" applyBorder="1" applyAlignment="1">
      <alignment vertical="top"/>
    </xf>
    <xf numFmtId="0" fontId="3" fillId="0" borderId="0" xfId="0" applyFont="1" applyAlignment="1">
      <alignment vertical="top"/>
    </xf>
    <xf numFmtId="0" fontId="6" fillId="0" borderId="2" xfId="0" applyFont="1" applyBorder="1" applyAlignment="1">
      <alignment horizontal="center"/>
    </xf>
    <xf numFmtId="0" fontId="2" fillId="0" borderId="21" xfId="0" applyFont="1" applyBorder="1" applyAlignment="1">
      <alignment horizontal="left" vertical="center" wrapText="1"/>
    </xf>
    <xf numFmtId="0" fontId="2" fillId="0" borderId="2" xfId="0" applyFont="1" applyBorder="1" applyAlignment="1">
      <alignment horizontal="left" vertical="center" wrapText="1"/>
    </xf>
    <xf numFmtId="0" fontId="6" fillId="0" borderId="21" xfId="0" applyFont="1" applyBorder="1" applyAlignment="1">
      <alignment horizontal="left"/>
    </xf>
    <xf numFmtId="0" fontId="6" fillId="0" borderId="2" xfId="0" applyFont="1" applyBorder="1" applyAlignment="1">
      <alignment horizontal="left"/>
    </xf>
    <xf numFmtId="0" fontId="0" fillId="0" borderId="8" xfId="0" applyBorder="1" applyAlignment="1">
      <alignment horizontal="left" wrapText="1"/>
    </xf>
    <xf numFmtId="0" fontId="0" fillId="0" borderId="12" xfId="0" applyBorder="1" applyAlignment="1">
      <alignment horizontal="left"/>
    </xf>
    <xf numFmtId="0" fontId="0" fillId="0" borderId="9" xfId="0" applyBorder="1" applyAlignment="1">
      <alignment horizontal="left"/>
    </xf>
    <xf numFmtId="0" fontId="0" fillId="0" borderId="5" xfId="0" applyBorder="1" applyAlignment="1">
      <alignment horizontal="left"/>
    </xf>
    <xf numFmtId="0" fontId="0" fillId="0" borderId="4" xfId="0" applyBorder="1" applyAlignment="1">
      <alignment horizontal="left"/>
    </xf>
    <xf numFmtId="0" fontId="0" fillId="0" borderId="6" xfId="0" applyBorder="1" applyAlignment="1">
      <alignment horizontal="left"/>
    </xf>
    <xf numFmtId="0" fontId="19" fillId="0" borderId="2" xfId="0" applyFont="1" applyBorder="1" applyAlignment="1">
      <alignment horizontal="center"/>
    </xf>
    <xf numFmtId="169" fontId="6" fillId="0" borderId="8" xfId="0" applyNumberFormat="1" applyFont="1" applyBorder="1" applyAlignment="1">
      <alignment horizontal="center" wrapText="1"/>
    </xf>
    <xf numFmtId="169" fontId="6" fillId="0" borderId="5" xfId="0" applyNumberFormat="1" applyFont="1" applyBorder="1" applyAlignment="1">
      <alignment horizontal="center" wrapText="1"/>
    </xf>
    <xf numFmtId="1" fontId="6" fillId="3" borderId="2" xfId="0" applyNumberFormat="1" applyFont="1" applyFill="1" applyBorder="1" applyAlignment="1">
      <alignment horizontal="center"/>
    </xf>
    <xf numFmtId="1" fontId="6" fillId="3" borderId="3" xfId="0" applyNumberFormat="1" applyFont="1" applyFill="1" applyBorder="1" applyAlignment="1">
      <alignment horizontal="center"/>
    </xf>
    <xf numFmtId="0" fontId="6" fillId="3" borderId="1" xfId="0" applyFont="1" applyFill="1" applyBorder="1" applyAlignment="1">
      <alignment horizontal="center"/>
    </xf>
    <xf numFmtId="0" fontId="6" fillId="3" borderId="3" xfId="0" applyFont="1" applyFill="1" applyBorder="1" applyAlignment="1">
      <alignment horizontal="center"/>
    </xf>
    <xf numFmtId="0" fontId="6" fillId="3" borderId="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3" borderId="3" xfId="0" applyFont="1" applyFill="1" applyBorder="1" applyAlignment="1">
      <alignment horizontal="center" vertical="center"/>
    </xf>
    <xf numFmtId="0" fontId="6" fillId="2" borderId="1" xfId="0" applyFont="1" applyFill="1" applyBorder="1" applyAlignment="1">
      <alignment horizontal="center"/>
    </xf>
    <xf numFmtId="0" fontId="6" fillId="2" borderId="2" xfId="0" applyFont="1" applyFill="1" applyBorder="1" applyAlignment="1">
      <alignment horizontal="center"/>
    </xf>
    <xf numFmtId="0" fontId="6" fillId="2" borderId="3" xfId="0" applyFont="1" applyFill="1" applyBorder="1" applyAlignment="1">
      <alignment horizontal="center"/>
    </xf>
    <xf numFmtId="169" fontId="6" fillId="0" borderId="12" xfId="0" applyNumberFormat="1" applyFont="1" applyBorder="1" applyAlignment="1">
      <alignment horizontal="center"/>
    </xf>
    <xf numFmtId="169" fontId="6" fillId="0" borderId="9" xfId="0" applyNumberFormat="1" applyFont="1" applyBorder="1" applyAlignment="1">
      <alignment horizontal="center"/>
    </xf>
    <xf numFmtId="0" fontId="6" fillId="0" borderId="10" xfId="0" applyFont="1" applyBorder="1" applyAlignment="1">
      <alignment horizontal="center" wrapText="1"/>
    </xf>
    <xf numFmtId="0" fontId="6" fillId="0" borderId="11" xfId="0" applyFont="1" applyBorder="1" applyAlignment="1">
      <alignment horizontal="center" wrapText="1"/>
    </xf>
    <xf numFmtId="0" fontId="6" fillId="0" borderId="9" xfId="0" applyFont="1" applyBorder="1" applyAlignment="1">
      <alignment horizontal="center" wrapText="1"/>
    </xf>
    <xf numFmtId="0" fontId="6" fillId="0" borderId="6" xfId="0" applyFont="1" applyBorder="1" applyAlignment="1">
      <alignment horizontal="center" wrapText="1"/>
    </xf>
    <xf numFmtId="0" fontId="0" fillId="0" borderId="8" xfId="0" applyBorder="1" applyAlignment="1">
      <alignment horizontal="center"/>
    </xf>
    <xf numFmtId="0" fontId="0" fillId="0" borderId="12" xfId="0" applyBorder="1" applyAlignment="1">
      <alignment horizontal="center"/>
    </xf>
    <xf numFmtId="0" fontId="0" fillId="0" borderId="9" xfId="0" applyBorder="1" applyAlignment="1">
      <alignment horizontal="center"/>
    </xf>
  </cellXfs>
  <cellStyles count="4">
    <cellStyle name="20% - Accent1 10" xfId="3" xr:uid="{3B858B02-F2FB-44AB-A2BE-0215D75C133E}"/>
    <cellStyle name="Hyperlink" xfId="2" builtinId="8"/>
    <cellStyle name="Normal" xfId="0" builtinId="0"/>
    <cellStyle name="Percent" xfId="1" builtinId="5"/>
  </cellStyles>
  <dxfs count="14">
    <dxf>
      <font>
        <strike val="0"/>
        <color rgb="FFFF0000"/>
      </font>
    </dxf>
    <dxf>
      <font>
        <b/>
        <i val="0"/>
        <strike val="0"/>
        <color rgb="FFFF0000"/>
      </font>
    </dxf>
    <dxf>
      <font>
        <strike val="0"/>
        <color rgb="FFFF0000"/>
      </font>
    </dxf>
    <dxf>
      <font>
        <b/>
        <i val="0"/>
        <color rgb="FF00FF00"/>
      </font>
    </dxf>
    <dxf>
      <font>
        <b/>
        <i val="0"/>
        <color rgb="FF00FF00"/>
      </font>
    </dxf>
    <dxf>
      <font>
        <b/>
        <i val="0"/>
        <color rgb="FF00FF00"/>
      </font>
    </dxf>
    <dxf>
      <font>
        <b/>
        <i val="0"/>
        <color rgb="FF00FF00"/>
      </font>
    </dxf>
    <dxf>
      <font>
        <b/>
        <i val="0"/>
        <color rgb="FF00FF00"/>
      </font>
    </dxf>
    <dxf>
      <font>
        <b/>
        <i val="0"/>
        <strike val="0"/>
        <color rgb="FF00FF00"/>
      </font>
    </dxf>
    <dxf>
      <font>
        <color rgb="FF00FF00"/>
      </font>
    </dxf>
    <dxf>
      <font>
        <b/>
        <i val="0"/>
        <strike val="0"/>
        <color rgb="FF00FF00"/>
      </font>
    </dxf>
    <dxf>
      <font>
        <b/>
        <i val="0"/>
        <color rgb="FF00FF00"/>
      </font>
    </dxf>
    <dxf>
      <font>
        <b/>
        <i val="0"/>
        <color rgb="FF00FF00"/>
      </font>
    </dxf>
    <dxf>
      <font>
        <b/>
        <i val="0"/>
        <color rgb="FF00FF00"/>
      </font>
    </dxf>
  </dxfs>
  <tableStyles count="0" defaultTableStyle="TableStyleMedium2"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4</xdr:col>
      <xdr:colOff>381000</xdr:colOff>
      <xdr:row>90</xdr:row>
      <xdr:rowOff>131705</xdr:rowOff>
    </xdr:from>
    <xdr:ext cx="184731" cy="264560"/>
    <xdr:sp macro="" textlink="">
      <xdr:nvSpPr>
        <xdr:cNvPr id="3" name="TextBox 2">
          <a:extLst>
            <a:ext uri="{FF2B5EF4-FFF2-40B4-BE49-F238E27FC236}">
              <a16:creationId xmlns:a16="http://schemas.microsoft.com/office/drawing/2014/main" id="{58CA8486-6B0E-F715-629A-80FACD25355E}"/>
            </a:ext>
          </a:extLst>
        </xdr:cNvPr>
        <xdr:cNvSpPr txBox="1"/>
      </xdr:nvSpPr>
      <xdr:spPr>
        <a:xfrm>
          <a:off x="20559889" y="23095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academia.edu/36742756/The_2015_Survey_of_the_Base_of_the_Great_Pyramid" TargetMode="External"/><Relationship Id="rId2" Type="http://schemas.openxmlformats.org/officeDocument/2006/relationships/hyperlink" Target="http://www.dashfoundation.org/GDFS2015-coordinates-casing.pdf" TargetMode="External"/><Relationship Id="rId1" Type="http://schemas.openxmlformats.org/officeDocument/2006/relationships/hyperlink" Target="https://statisticsbyjim.com/regression/regression-analysis-excel/" TargetMode="External"/><Relationship Id="rId6" Type="http://schemas.openxmlformats.org/officeDocument/2006/relationships/hyperlink" Target="https://support.microsoft.com/en-us/office/linest-function-84d7d0d9-6e50-4101-977a-fa7abf772b6d" TargetMode="External"/><Relationship Id="rId5" Type="http://schemas.openxmlformats.org/officeDocument/2006/relationships/hyperlink" Target="https://www.academia.edu/32879091/Where_Precisely_are_the_Three_Pyramids_of_Giza" TargetMode="External"/><Relationship Id="rId4" Type="http://schemas.openxmlformats.org/officeDocument/2006/relationships/hyperlink" Target="https://www.exceldemy.com/how-to-use-data-analysis-toolpak-in-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1D4E0-AA54-4557-8011-F8A4D22A6B8A}">
  <dimension ref="A1:AD87"/>
  <sheetViews>
    <sheetView zoomScale="70" zoomScaleNormal="70" workbookViewId="0">
      <pane xSplit="4" ySplit="15" topLeftCell="M54" activePane="bottomRight" state="frozen"/>
      <selection pane="topRight" activeCell="E1" sqref="E1"/>
      <selection pane="bottomLeft" activeCell="A16" sqref="A16"/>
      <selection pane="bottomRight" activeCell="P1" sqref="P1"/>
    </sheetView>
  </sheetViews>
  <sheetFormatPr defaultRowHeight="15.35" x14ac:dyDescent="0.5"/>
  <cols>
    <col min="1" max="1" width="50.21875" style="190" customWidth="1"/>
    <col min="2" max="2" width="12.38671875" style="4" bestFit="1" customWidth="1"/>
    <col min="3" max="4" width="10.5546875" style="4" customWidth="1"/>
    <col min="5" max="5" width="9.0546875" style="4" bestFit="1" customWidth="1"/>
    <col min="6" max="6" width="7.77734375" style="4" bestFit="1" customWidth="1"/>
    <col min="7" max="7" width="11.5546875" style="4" bestFit="1" customWidth="1"/>
    <col min="8" max="8" width="10.609375" style="4" bestFit="1" customWidth="1"/>
    <col min="9" max="9" width="9.21875" style="4" bestFit="1" customWidth="1"/>
    <col min="10" max="10" width="9.27734375" style="4" bestFit="1" customWidth="1"/>
    <col min="11" max="11" width="10.38671875" style="4" bestFit="1" customWidth="1"/>
    <col min="12" max="12" width="11.609375" style="4" bestFit="1" customWidth="1"/>
    <col min="13" max="14" width="10.83203125" style="9" bestFit="1" customWidth="1"/>
    <col min="15" max="15" width="2.609375" style="9" customWidth="1"/>
    <col min="16" max="17" width="11.21875" style="4" bestFit="1" customWidth="1"/>
    <col min="18" max="18" width="13.5" style="4" bestFit="1" customWidth="1"/>
    <col min="19" max="19" width="11.21875" style="4" bestFit="1" customWidth="1"/>
    <col min="20" max="21" width="11.71875" style="4" bestFit="1" customWidth="1"/>
    <col min="22" max="22" width="4.88671875" style="4" bestFit="1" customWidth="1"/>
    <col min="23" max="24" width="15.44140625" style="4" bestFit="1" customWidth="1"/>
    <col min="25" max="25" width="13.44140625" style="4" bestFit="1" customWidth="1"/>
    <col min="26" max="26" width="11.1640625" style="4" bestFit="1" customWidth="1"/>
    <col min="27" max="28" width="12.21875" style="4" bestFit="1" customWidth="1"/>
    <col min="29" max="30" width="11.71875" style="4" bestFit="1" customWidth="1"/>
    <col min="31" max="31" width="4.88671875" style="4" bestFit="1" customWidth="1"/>
    <col min="32" max="32" width="11.21875" style="4" bestFit="1" customWidth="1"/>
    <col min="33" max="34" width="11.71875" style="4" bestFit="1" customWidth="1"/>
    <col min="35" max="16384" width="8.88671875" style="4"/>
  </cols>
  <sheetData>
    <row r="1" spans="1:30" s="193" customFormat="1" x14ac:dyDescent="0.5">
      <c r="A1" s="189" t="s">
        <v>579</v>
      </c>
      <c r="K1" s="194"/>
      <c r="M1" s="195"/>
      <c r="N1" s="195"/>
      <c r="O1" s="195"/>
      <c r="P1" s="283" t="s">
        <v>776</v>
      </c>
    </row>
    <row r="2" spans="1:30" x14ac:dyDescent="0.5">
      <c r="A2" s="190" t="s">
        <v>580</v>
      </c>
      <c r="P2" s="283" t="s">
        <v>758</v>
      </c>
    </row>
    <row r="3" spans="1:30" x14ac:dyDescent="0.5">
      <c r="A3" s="190" t="s">
        <v>588</v>
      </c>
      <c r="P3" s="283" t="s">
        <v>590</v>
      </c>
      <c r="U3" s="224"/>
    </row>
    <row r="4" spans="1:30" x14ac:dyDescent="0.5">
      <c r="A4" s="190" t="s">
        <v>581</v>
      </c>
      <c r="P4" s="7"/>
    </row>
    <row r="5" spans="1:30" ht="18" x14ac:dyDescent="0.5">
      <c r="A5" s="190" t="s">
        <v>582</v>
      </c>
      <c r="P5" s="278" t="s">
        <v>741</v>
      </c>
      <c r="Y5" s="278"/>
    </row>
    <row r="6" spans="1:30" ht="18.350000000000001" thickBot="1" x14ac:dyDescent="0.55000000000000004">
      <c r="A6" s="190" t="s">
        <v>583</v>
      </c>
      <c r="P6" s="278" t="s">
        <v>742</v>
      </c>
      <c r="Y6" s="278"/>
    </row>
    <row r="7" spans="1:30" x14ac:dyDescent="0.5">
      <c r="A7" s="190" t="s">
        <v>584</v>
      </c>
      <c r="Q7" s="176" t="s">
        <v>738</v>
      </c>
      <c r="R7" s="252">
        <f>R11/R10</f>
        <v>0.99981152666999995</v>
      </c>
      <c r="Z7" s="176"/>
      <c r="AA7" s="263"/>
      <c r="AC7" s="486" t="s">
        <v>757</v>
      </c>
      <c r="AD7" s="487"/>
    </row>
    <row r="8" spans="1:30" x14ac:dyDescent="0.5">
      <c r="A8" s="190" t="s">
        <v>585</v>
      </c>
      <c r="Q8" s="176" t="s">
        <v>739</v>
      </c>
      <c r="R8" s="333">
        <v>100362.353</v>
      </c>
      <c r="Z8" s="176"/>
      <c r="AA8" s="333"/>
      <c r="AC8" s="488"/>
      <c r="AD8" s="489"/>
    </row>
    <row r="9" spans="1:30" ht="18" thickBot="1" x14ac:dyDescent="0.7">
      <c r="A9" s="190" t="s">
        <v>586</v>
      </c>
      <c r="Q9" s="176" t="s">
        <v>740</v>
      </c>
      <c r="R9" s="333">
        <v>500288.82199999999</v>
      </c>
      <c r="Z9" s="176"/>
      <c r="AA9" s="333"/>
      <c r="AC9" s="488"/>
      <c r="AD9" s="489"/>
    </row>
    <row r="10" spans="1:30" ht="16" thickTop="1" thickBot="1" x14ac:dyDescent="0.55000000000000004">
      <c r="A10" s="190" t="s">
        <v>587</v>
      </c>
      <c r="H10" s="192"/>
      <c r="Q10" s="176" t="s">
        <v>748</v>
      </c>
      <c r="R10" s="263">
        <f>0.0254/196.713</f>
        <v>1.2912212207632438E-4</v>
      </c>
      <c r="Z10" s="176"/>
      <c r="AA10" s="263"/>
      <c r="AC10" s="490"/>
      <c r="AD10" s="491"/>
    </row>
    <row r="11" spans="1:30" ht="15.7" thickBot="1" x14ac:dyDescent="0.55000000000000004">
      <c r="A11" s="507" t="s">
        <v>759</v>
      </c>
      <c r="B11" s="508"/>
      <c r="C11" s="508"/>
      <c r="D11" s="509"/>
      <c r="L11" s="24" t="s">
        <v>412</v>
      </c>
      <c r="M11" s="83">
        <f>MAX(M16:M84)</f>
        <v>-2606.5501369985359</v>
      </c>
      <c r="N11" s="207">
        <f>MAX(N16:N84)</f>
        <v>-4854.6515941391408</v>
      </c>
      <c r="Q11" s="176" t="s">
        <v>747</v>
      </c>
      <c r="R11" s="263">
        <f>0.0254*D14</f>
        <v>1.2909778599999998E-4</v>
      </c>
      <c r="T11" s="492" t="s">
        <v>591</v>
      </c>
      <c r="U11" s="487"/>
      <c r="Z11" s="176"/>
      <c r="AA11" s="263"/>
      <c r="AC11" s="336" t="s">
        <v>490</v>
      </c>
      <c r="AD11" s="336" t="s">
        <v>491</v>
      </c>
    </row>
    <row r="12" spans="1:30" ht="15.7" customHeight="1" thickBot="1" x14ac:dyDescent="0.55000000000000004">
      <c r="A12" s="510"/>
      <c r="B12" s="511"/>
      <c r="C12" s="511"/>
      <c r="D12" s="512"/>
      <c r="L12" s="27" t="s">
        <v>413</v>
      </c>
      <c r="M12" s="30">
        <f>MIN(M17:M84)</f>
        <v>-40873.033463002466</v>
      </c>
      <c r="N12" s="287">
        <f>MIN(N17:N84)</f>
        <v>-51881.300814822178</v>
      </c>
      <c r="O12" s="8"/>
      <c r="R12" s="252"/>
      <c r="T12" s="336" t="s">
        <v>490</v>
      </c>
      <c r="U12" s="336" t="s">
        <v>491</v>
      </c>
      <c r="AB12" s="176" t="s">
        <v>743</v>
      </c>
      <c r="AC12" s="334">
        <f>MIN(AC16:AC84)</f>
        <v>-5.9301956207491457E-4</v>
      </c>
      <c r="AD12" s="207">
        <f>MIN(AD16:AD84)</f>
        <v>-4.6833253582008183E-3</v>
      </c>
    </row>
    <row r="13" spans="1:30" ht="15.7" customHeight="1" thickBot="1" x14ac:dyDescent="0.55000000000000004">
      <c r="A13" s="503" t="s">
        <v>411</v>
      </c>
      <c r="B13" s="504"/>
      <c r="C13" s="504"/>
      <c r="D13" s="17">
        <f>1+12/60+22/3600</f>
        <v>1.2061111111111111</v>
      </c>
      <c r="E13" s="484" t="s">
        <v>255</v>
      </c>
      <c r="F13" s="502"/>
      <c r="G13" s="502"/>
      <c r="H13" s="485"/>
      <c r="I13" s="484" t="s">
        <v>346</v>
      </c>
      <c r="J13" s="502"/>
      <c r="K13" s="502"/>
      <c r="L13" s="502"/>
      <c r="M13" s="498" t="s">
        <v>344</v>
      </c>
      <c r="N13" s="499"/>
      <c r="O13" s="285"/>
      <c r="P13" s="495" t="s">
        <v>578</v>
      </c>
      <c r="Q13" s="496"/>
      <c r="R13" s="496"/>
      <c r="S13" s="497"/>
      <c r="T13" s="280">
        <f>MIN(T16:T84)</f>
        <v>-2.0136649254709482E-6</v>
      </c>
      <c r="U13" s="280">
        <f>MIN(U16:U84)</f>
        <v>2.3917527869343758E-7</v>
      </c>
      <c r="V13" s="4" t="s">
        <v>743</v>
      </c>
      <c r="AB13" s="176" t="s">
        <v>744</v>
      </c>
      <c r="AC13" s="335">
        <f>MAX(AC16:AC84)</f>
        <v>2.5904685608111322E-3</v>
      </c>
      <c r="AD13" s="287">
        <f>MAX(AD16:AD84)</f>
        <v>-2.2807327331975102E-4</v>
      </c>
    </row>
    <row r="14" spans="1:30" ht="15.7" customHeight="1" thickBot="1" x14ac:dyDescent="0.55000000000000004">
      <c r="A14" s="505" t="s">
        <v>410</v>
      </c>
      <c r="B14" s="506"/>
      <c r="C14" s="506"/>
      <c r="D14" s="18">
        <v>5.0825899999999997E-3</v>
      </c>
      <c r="E14" s="484" t="s">
        <v>254</v>
      </c>
      <c r="F14" s="485"/>
      <c r="G14" s="484" t="s">
        <v>345</v>
      </c>
      <c r="H14" s="485"/>
      <c r="I14" s="484" t="s">
        <v>357</v>
      </c>
      <c r="J14" s="502"/>
      <c r="K14" s="502"/>
      <c r="L14" s="502"/>
      <c r="M14" s="498" t="s">
        <v>356</v>
      </c>
      <c r="N14" s="499"/>
      <c r="O14" s="285"/>
      <c r="P14" s="493" t="s">
        <v>574</v>
      </c>
      <c r="Q14" s="494"/>
      <c r="R14" s="493" t="s">
        <v>577</v>
      </c>
      <c r="S14" s="494"/>
      <c r="T14" s="279" cm="1">
        <f t="array" ref="T14">MAX(ABS(T17:T84))</f>
        <v>2.0136649254709482E-6</v>
      </c>
      <c r="U14" s="279" cm="1">
        <f t="array" ref="U14">MAX(ABS(U17:U84))</f>
        <v>2.5559565983712673E-6</v>
      </c>
      <c r="V14" s="4" t="s">
        <v>744</v>
      </c>
      <c r="W14" s="327"/>
      <c r="X14" s="328"/>
      <c r="Y14" s="328" t="s">
        <v>751</v>
      </c>
      <c r="Z14" s="328"/>
      <c r="AA14" s="328"/>
      <c r="AB14" s="329"/>
      <c r="AC14" s="484" t="s">
        <v>756</v>
      </c>
      <c r="AD14" s="485"/>
    </row>
    <row r="15" spans="1:30" ht="30.85" customHeight="1" thickBot="1" x14ac:dyDescent="0.55000000000000004">
      <c r="A15" s="1" t="s">
        <v>0</v>
      </c>
      <c r="B15" s="2" t="s">
        <v>749</v>
      </c>
      <c r="C15" s="2" t="s">
        <v>1</v>
      </c>
      <c r="D15" s="3" t="s">
        <v>354</v>
      </c>
      <c r="E15" s="1" t="s">
        <v>252</v>
      </c>
      <c r="F15" s="3" t="s">
        <v>253</v>
      </c>
      <c r="G15" s="2" t="s">
        <v>256</v>
      </c>
      <c r="H15" s="3" t="s">
        <v>347</v>
      </c>
      <c r="I15" s="1" t="s">
        <v>589</v>
      </c>
      <c r="J15" s="2" t="s">
        <v>348</v>
      </c>
      <c r="K15" s="3" t="s">
        <v>349</v>
      </c>
      <c r="L15" s="1" t="s">
        <v>386</v>
      </c>
      <c r="M15" s="16" t="s">
        <v>305</v>
      </c>
      <c r="N15" s="284" t="s">
        <v>306</v>
      </c>
      <c r="O15" s="286"/>
      <c r="P15" s="303" t="s">
        <v>575</v>
      </c>
      <c r="Q15" s="304" t="s">
        <v>576</v>
      </c>
      <c r="R15" s="305" t="s">
        <v>575</v>
      </c>
      <c r="S15" s="305" t="s">
        <v>576</v>
      </c>
      <c r="T15" s="281" t="s">
        <v>745</v>
      </c>
      <c r="U15" s="282" t="s">
        <v>746</v>
      </c>
      <c r="W15" s="326" t="s">
        <v>752</v>
      </c>
      <c r="X15" s="326" t="s">
        <v>753</v>
      </c>
      <c r="Y15" s="326" t="s">
        <v>754</v>
      </c>
      <c r="Z15" s="326" t="s">
        <v>755</v>
      </c>
      <c r="AA15" s="326" t="s">
        <v>717</v>
      </c>
      <c r="AB15" s="326" t="s">
        <v>718</v>
      </c>
      <c r="AC15" s="282" t="s">
        <v>745</v>
      </c>
      <c r="AD15" s="282" t="s">
        <v>746</v>
      </c>
    </row>
    <row r="16" spans="1:30" ht="15.7" x14ac:dyDescent="0.5">
      <c r="A16" s="288" t="s">
        <v>2</v>
      </c>
      <c r="B16" s="196" t="s">
        <v>3</v>
      </c>
      <c r="C16" s="289" t="s">
        <v>5</v>
      </c>
      <c r="D16" s="289" t="s">
        <v>4</v>
      </c>
      <c r="E16" s="9">
        <f t="shared" ref="E16:E56" si="0">_xlfn.NUMBERVALUE(C16)</f>
        <v>3987140</v>
      </c>
      <c r="F16" s="9">
        <f t="shared" ref="F16:F56" si="1">_xlfn.NUMBERVALUE(D16)</f>
        <v>935234</v>
      </c>
      <c r="G16" s="9">
        <f>(E16^2+F16^2)^0.5</f>
        <v>4095356.884858266</v>
      </c>
      <c r="H16" s="8">
        <f>DEGREES(ATAN(F16/E16))</f>
        <v>13.20080029977745</v>
      </c>
      <c r="I16" s="8">
        <f t="shared" ref="I16:I63" si="2">-90-H16+$D$13</f>
        <v>-101.99468918866634</v>
      </c>
      <c r="J16" s="9">
        <f>G16*SIN((90-I16)/180*PI())</f>
        <v>-851101.26270534261</v>
      </c>
      <c r="K16" s="9">
        <f>G16*COS((90-I16)/180*PI())</f>
        <v>-4005942.4178309618</v>
      </c>
      <c r="L16" s="290">
        <f>(J16^2+K16^2)^0.5</f>
        <v>4095356.884858266</v>
      </c>
      <c r="M16" s="8">
        <f t="shared" ref="M16:M63" si="3">J16*$D$14</f>
        <v>-4325.7987668135474</v>
      </c>
      <c r="N16" s="208">
        <f t="shared" ref="N16:N63" si="4">K16*$D$14</f>
        <v>-20360.562873443465</v>
      </c>
      <c r="O16" s="8"/>
      <c r="P16" s="191">
        <f>N16*0.0254/R$7+$R$8</f>
        <v>99845.097214094101</v>
      </c>
      <c r="Q16" s="10">
        <f>M16*0.0254/R$7+$R$9</f>
        <v>500178.92599885765</v>
      </c>
      <c r="R16" s="10">
        <f>$R$8-0.0254/196.713*(F16^2+E16^2)^0.5*COS((DEGREES(ATAN(F16/E16))-1.206111)/180*PI())</f>
        <v>99845.097214307229</v>
      </c>
      <c r="S16" s="10">
        <f t="shared" ref="S16:S63" si="5">$R$9-0.0254/196.713*(F16^2+E16^2)^0.5*SIN((DEGREES(ATAN(F16/E16))-1.206111)/180*PI())</f>
        <v>500178.92599785456</v>
      </c>
      <c r="T16" s="277">
        <f>(P16-R16)</f>
        <v>-2.1312735043466091E-7</v>
      </c>
      <c r="U16" s="306">
        <f>(Q16-S16)</f>
        <v>1.0030926205217838E-6</v>
      </c>
      <c r="W16" s="321">
        <v>3987140</v>
      </c>
      <c r="X16" s="316">
        <v>935234</v>
      </c>
      <c r="Y16" s="317">
        <v>99845.096999999994</v>
      </c>
      <c r="Z16" s="317">
        <v>500178.924</v>
      </c>
      <c r="AA16" s="317">
        <v>31.136054999999999</v>
      </c>
      <c r="AB16" s="317">
        <v>29.977779829999999</v>
      </c>
      <c r="AC16" s="131">
        <f>Y16-R16</f>
        <v>-2.1430723427329212E-4</v>
      </c>
      <c r="AD16" s="331">
        <f>Z16-S16</f>
        <v>-1.9978545606136322E-3</v>
      </c>
    </row>
    <row r="17" spans="1:30" ht="15.7" x14ac:dyDescent="0.5">
      <c r="A17" s="288" t="s">
        <v>6</v>
      </c>
      <c r="B17" s="196" t="s">
        <v>7</v>
      </c>
      <c r="C17" s="291" t="s">
        <v>9</v>
      </c>
      <c r="D17" s="291" t="s">
        <v>8</v>
      </c>
      <c r="E17" s="9">
        <f t="shared" si="0"/>
        <v>5393798</v>
      </c>
      <c r="F17" s="9">
        <f t="shared" si="1"/>
        <v>3411980</v>
      </c>
      <c r="G17" s="9">
        <f t="shared" ref="G17:G80" si="6">(E17^2+F17^2)^0.5</f>
        <v>6382371.3763149194</v>
      </c>
      <c r="H17" s="8">
        <f t="shared" ref="H17:H80" si="7">DEGREES(ATAN(F17/E17))</f>
        <v>32.316408839264511</v>
      </c>
      <c r="I17" s="8">
        <f t="shared" si="2"/>
        <v>-121.1102977281534</v>
      </c>
      <c r="J17" s="9">
        <f t="shared" ref="J17:J80" si="8">G17*SIN((90-I17)/180*PI())</f>
        <v>-3297689.7028468656</v>
      </c>
      <c r="K17" s="9">
        <f t="shared" ref="K17:K80" si="9">G17*COS((90-I17)/180*PI())</f>
        <v>-5464421.9281587098</v>
      </c>
      <c r="L17" s="290">
        <f t="shared" ref="L17:L80" si="10">(J17^2+K17^2)^0.5</f>
        <v>6382371.3763149194</v>
      </c>
      <c r="M17" s="8">
        <f t="shared" si="3"/>
        <v>-16760.804706792449</v>
      </c>
      <c r="N17" s="208">
        <f t="shared" si="4"/>
        <v>-27773.416247840174</v>
      </c>
      <c r="O17" s="8"/>
      <c r="P17" s="191">
        <f t="shared" ref="P17:P80" si="11">N17*0.0254/R$7+$R$8</f>
        <v>99656.775244715755</v>
      </c>
      <c r="Q17" s="10">
        <f t="shared" ref="Q17:Q80" si="12">M17*0.0254/R$7+$R$9</f>
        <v>499863.01730761916</v>
      </c>
      <c r="R17" s="10">
        <f t="shared" ref="R17:R63" si="13">$R$8-0.0254/196.713*(F17^2+E17^2)^0.5*COS((DEGREES(ATAN(F17/E17))-1.206111)/180*PI())</f>
        <v>99656.775245541488</v>
      </c>
      <c r="S17" s="10">
        <f t="shared" si="5"/>
        <v>499863.01730625087</v>
      </c>
      <c r="T17" s="277">
        <f t="shared" ref="T17:T80" si="14">(P17-R17)</f>
        <v>-8.2573387771844864E-7</v>
      </c>
      <c r="U17" s="306">
        <f t="shared" ref="U17:U80" si="15">(Q17-S17)</f>
        <v>1.3682874850928783E-6</v>
      </c>
      <c r="W17" s="321">
        <v>5393798</v>
      </c>
      <c r="X17" s="316">
        <v>3411980</v>
      </c>
      <c r="Y17" s="317">
        <v>99656.775999999998</v>
      </c>
      <c r="Z17" s="317">
        <v>499863.01500000001</v>
      </c>
      <c r="AA17" s="317">
        <v>31.132781699999999</v>
      </c>
      <c r="AB17" s="317">
        <v>29.97608086</v>
      </c>
      <c r="AC17" s="105">
        <f t="shared" ref="AC17:AC80" si="16">Y17-R17</f>
        <v>7.5445850961841643E-4</v>
      </c>
      <c r="AD17" s="276">
        <f t="shared" ref="AD17:AD80" si="17">Z17-S17</f>
        <v>-2.3062508553266525E-3</v>
      </c>
    </row>
    <row r="18" spans="1:30" ht="15.7" x14ac:dyDescent="0.5">
      <c r="A18" s="288" t="s">
        <v>10</v>
      </c>
      <c r="B18" s="196" t="s">
        <v>11</v>
      </c>
      <c r="C18" s="291" t="s">
        <v>13</v>
      </c>
      <c r="D18" s="291" t="s">
        <v>12</v>
      </c>
      <c r="E18" s="9">
        <f t="shared" si="0"/>
        <v>8382255</v>
      </c>
      <c r="F18" s="9">
        <f t="shared" si="1"/>
        <v>5839239</v>
      </c>
      <c r="G18" s="9">
        <f t="shared" si="6"/>
        <v>10215620.929935977</v>
      </c>
      <c r="H18" s="8">
        <f t="shared" si="7"/>
        <v>34.861806316571226</v>
      </c>
      <c r="I18" s="8">
        <f t="shared" si="2"/>
        <v>-123.65569520546012</v>
      </c>
      <c r="J18" s="9">
        <f t="shared" si="8"/>
        <v>-5661506.7323718322</v>
      </c>
      <c r="K18" s="9">
        <f t="shared" si="9"/>
        <v>-8503308.3269663006</v>
      </c>
      <c r="L18" s="290">
        <f t="shared" si="10"/>
        <v>10215620.929935977</v>
      </c>
      <c r="M18" s="8">
        <f t="shared" si="3"/>
        <v>-28775.117502885751</v>
      </c>
      <c r="N18" s="208">
        <f t="shared" si="4"/>
        <v>-43218.829869555644</v>
      </c>
      <c r="O18" s="8"/>
      <c r="P18" s="191">
        <f t="shared" si="11"/>
        <v>99264.38778415283</v>
      </c>
      <c r="Q18" s="10">
        <f t="shared" si="12"/>
        <v>499557.79623656673</v>
      </c>
      <c r="R18" s="10">
        <f t="shared" si="13"/>
        <v>99264.387785570478</v>
      </c>
      <c r="S18" s="10">
        <f t="shared" si="5"/>
        <v>499557.7962344375</v>
      </c>
      <c r="T18" s="277">
        <f t="shared" si="14"/>
        <v>-1.4176475815474987E-6</v>
      </c>
      <c r="U18" s="306">
        <f t="shared" si="15"/>
        <v>2.1292362362146378E-6</v>
      </c>
      <c r="W18" s="321">
        <v>8382255</v>
      </c>
      <c r="X18" s="316">
        <v>5839239</v>
      </c>
      <c r="Y18" s="317">
        <v>99264.39</v>
      </c>
      <c r="Z18" s="317">
        <v>499557.79300000001</v>
      </c>
      <c r="AA18" s="317">
        <v>31.129619430000002</v>
      </c>
      <c r="AB18" s="317">
        <v>29.972540930000001</v>
      </c>
      <c r="AC18" s="105">
        <f t="shared" si="16"/>
        <v>2.2144295217003673E-3</v>
      </c>
      <c r="AD18" s="276">
        <f t="shared" si="17"/>
        <v>-3.234437492210418E-3</v>
      </c>
    </row>
    <row r="19" spans="1:30" ht="15.7" x14ac:dyDescent="0.5">
      <c r="A19" s="288" t="s">
        <v>14</v>
      </c>
      <c r="B19" s="196" t="s">
        <v>15</v>
      </c>
      <c r="C19" s="291" t="s">
        <v>17</v>
      </c>
      <c r="D19" s="291" t="s">
        <v>16</v>
      </c>
      <c r="E19" s="9">
        <f t="shared" si="0"/>
        <v>9143054</v>
      </c>
      <c r="F19" s="9">
        <f t="shared" si="1"/>
        <v>6836560</v>
      </c>
      <c r="G19" s="9">
        <f t="shared" si="6"/>
        <v>11416391.245946156</v>
      </c>
      <c r="H19" s="8">
        <f t="shared" si="7"/>
        <v>36.786664999074006</v>
      </c>
      <c r="I19" s="8">
        <f t="shared" si="2"/>
        <v>-125.58055388796289</v>
      </c>
      <c r="J19" s="9">
        <f t="shared" si="8"/>
        <v>-6642592.6697249562</v>
      </c>
      <c r="K19" s="9">
        <f t="shared" si="9"/>
        <v>-9284931.4324141517</v>
      </c>
      <c r="L19" s="290">
        <f t="shared" si="10"/>
        <v>11416391.245946156</v>
      </c>
      <c r="M19" s="8">
        <f t="shared" si="3"/>
        <v>-33761.575077217363</v>
      </c>
      <c r="N19" s="208">
        <f t="shared" si="4"/>
        <v>-47191.499649073841</v>
      </c>
      <c r="O19" s="8"/>
      <c r="P19" s="191">
        <f t="shared" si="11"/>
        <v>99163.46295011352</v>
      </c>
      <c r="Q19" s="10">
        <f t="shared" si="12"/>
        <v>499431.11633839644</v>
      </c>
      <c r="R19" s="10">
        <f t="shared" si="13"/>
        <v>99163.462951776834</v>
      </c>
      <c r="S19" s="10">
        <f t="shared" si="5"/>
        <v>499431.11633607151</v>
      </c>
      <c r="T19" s="277">
        <f t="shared" si="14"/>
        <v>-1.6633130144327879E-6</v>
      </c>
      <c r="U19" s="306">
        <f t="shared" si="15"/>
        <v>2.3249303922057152E-6</v>
      </c>
      <c r="W19" s="321">
        <v>9143054</v>
      </c>
      <c r="X19" s="316">
        <v>6836560</v>
      </c>
      <c r="Y19" s="317">
        <v>99163.464999999997</v>
      </c>
      <c r="Z19" s="317">
        <v>499431.11300000001</v>
      </c>
      <c r="AA19" s="317">
        <v>31.128306949999999</v>
      </c>
      <c r="AB19" s="317">
        <v>29.971630390000001</v>
      </c>
      <c r="AC19" s="105">
        <f t="shared" si="16"/>
        <v>2.0482231630012393E-3</v>
      </c>
      <c r="AD19" s="276">
        <f t="shared" si="17"/>
        <v>-3.336071502417326E-3</v>
      </c>
    </row>
    <row r="20" spans="1:30" ht="15.7" x14ac:dyDescent="0.5">
      <c r="A20" s="288" t="s">
        <v>18</v>
      </c>
      <c r="B20" s="196" t="s">
        <v>19</v>
      </c>
      <c r="C20" s="291" t="s">
        <v>21</v>
      </c>
      <c r="D20" s="291" t="s">
        <v>20</v>
      </c>
      <c r="E20" s="9">
        <f t="shared" si="0"/>
        <v>8072225</v>
      </c>
      <c r="F20" s="9">
        <f t="shared" si="1"/>
        <v>6840249</v>
      </c>
      <c r="G20" s="9">
        <f t="shared" si="6"/>
        <v>10580634.330352128</v>
      </c>
      <c r="H20" s="8">
        <f t="shared" si="7"/>
        <v>40.277303196461666</v>
      </c>
      <c r="I20" s="8">
        <f t="shared" si="2"/>
        <v>-129.07119208535056</v>
      </c>
      <c r="J20" s="9">
        <f t="shared" si="8"/>
        <v>-6668820.7913306346</v>
      </c>
      <c r="K20" s="9">
        <f t="shared" si="9"/>
        <v>-8214417.3308727294</v>
      </c>
      <c r="L20" s="290">
        <f t="shared" si="10"/>
        <v>10580634.330352128</v>
      </c>
      <c r="M20" s="8">
        <f t="shared" si="3"/>
        <v>-33894.88186580917</v>
      </c>
      <c r="N20" s="208">
        <f t="shared" si="4"/>
        <v>-41750.515381720426</v>
      </c>
      <c r="O20" s="8"/>
      <c r="P20" s="191">
        <f t="shared" si="11"/>
        <v>99301.690002617179</v>
      </c>
      <c r="Q20" s="10">
        <f t="shared" si="12"/>
        <v>499427.72970767668</v>
      </c>
      <c r="R20" s="10">
        <f t="shared" si="13"/>
        <v>99301.690004287055</v>
      </c>
      <c r="S20" s="10">
        <f t="shared" si="5"/>
        <v>499427.72970561974</v>
      </c>
      <c r="T20" s="277">
        <f t="shared" si="14"/>
        <v>-1.6698759282007813E-6</v>
      </c>
      <c r="U20" s="306">
        <f t="shared" si="15"/>
        <v>2.0569423213601112E-6</v>
      </c>
      <c r="W20" s="321">
        <v>8072225</v>
      </c>
      <c r="X20" s="316">
        <v>6840249</v>
      </c>
      <c r="Y20" s="317">
        <v>99301.691999999995</v>
      </c>
      <c r="Z20" s="317">
        <v>499427.72600000002</v>
      </c>
      <c r="AA20" s="317">
        <v>31.128271730000002</v>
      </c>
      <c r="AB20" s="317">
        <v>29.972877329999999</v>
      </c>
      <c r="AC20" s="105">
        <f t="shared" si="16"/>
        <v>1.9957129406975582E-3</v>
      </c>
      <c r="AD20" s="276">
        <f t="shared" si="17"/>
        <v>-3.7056197179481387E-3</v>
      </c>
    </row>
    <row r="21" spans="1:30" ht="15.7" x14ac:dyDescent="0.5">
      <c r="A21" s="288" t="s">
        <v>22</v>
      </c>
      <c r="B21" s="196" t="s">
        <v>23</v>
      </c>
      <c r="C21" s="291" t="s">
        <v>25</v>
      </c>
      <c r="D21" s="291" t="s">
        <v>24</v>
      </c>
      <c r="E21" s="9">
        <f t="shared" si="0"/>
        <v>4246813</v>
      </c>
      <c r="F21" s="9">
        <f t="shared" si="1"/>
        <v>8132966</v>
      </c>
      <c r="G21" s="9">
        <f t="shared" si="6"/>
        <v>9174996.2732485626</v>
      </c>
      <c r="H21" s="8">
        <f t="shared" si="7"/>
        <v>62.427664479425701</v>
      </c>
      <c r="I21" s="8">
        <f t="shared" si="2"/>
        <v>-151.22155336831457</v>
      </c>
      <c r="J21" s="9">
        <f t="shared" si="8"/>
        <v>-8041772.6912858337</v>
      </c>
      <c r="K21" s="9">
        <f t="shared" si="9"/>
        <v>-4417063.3452345235</v>
      </c>
      <c r="L21" s="290">
        <f t="shared" si="10"/>
        <v>9174996.2732485626</v>
      </c>
      <c r="M21" s="8">
        <f t="shared" si="3"/>
        <v>-40873.033463002466</v>
      </c>
      <c r="N21" s="208">
        <f t="shared" si="4"/>
        <v>-22450.121987855535</v>
      </c>
      <c r="O21" s="8"/>
      <c r="P21" s="191">
        <f t="shared" si="11"/>
        <v>99792.012407517774</v>
      </c>
      <c r="Q21" s="10">
        <f t="shared" si="12"/>
        <v>499250.45124484575</v>
      </c>
      <c r="R21" s="10">
        <f t="shared" si="13"/>
        <v>99792.012409531439</v>
      </c>
      <c r="S21" s="10">
        <f t="shared" si="5"/>
        <v>499250.45124373969</v>
      </c>
      <c r="T21" s="277">
        <f t="shared" si="14"/>
        <v>-2.0136649254709482E-6</v>
      </c>
      <c r="U21" s="306">
        <f t="shared" si="15"/>
        <v>1.1060619726777077E-6</v>
      </c>
      <c r="W21" s="321">
        <v>4246813</v>
      </c>
      <c r="X21" s="316">
        <v>8132966</v>
      </c>
      <c r="Y21" s="317">
        <v>99792.014999999999</v>
      </c>
      <c r="Z21" s="317">
        <v>499250.44900000002</v>
      </c>
      <c r="AA21" s="317">
        <v>31.126434329999999</v>
      </c>
      <c r="AB21" s="317">
        <v>29.97730039</v>
      </c>
      <c r="AC21" s="105">
        <f t="shared" si="16"/>
        <v>2.5904685608111322E-3</v>
      </c>
      <c r="AD21" s="276">
        <f t="shared" si="17"/>
        <v>-2.2437396692112088E-3</v>
      </c>
    </row>
    <row r="22" spans="1:30" ht="15.7" x14ac:dyDescent="0.5">
      <c r="A22" s="288" t="s">
        <v>26</v>
      </c>
      <c r="B22" s="196" t="s">
        <v>27</v>
      </c>
      <c r="C22" s="291" t="s">
        <v>29</v>
      </c>
      <c r="D22" s="291" t="s">
        <v>28</v>
      </c>
      <c r="E22" s="9">
        <f t="shared" si="0"/>
        <v>3000000</v>
      </c>
      <c r="F22" s="9">
        <f t="shared" si="1"/>
        <v>6000000</v>
      </c>
      <c r="G22" s="9">
        <f t="shared" si="6"/>
        <v>6708203.9324993687</v>
      </c>
      <c r="H22" s="8">
        <f t="shared" si="7"/>
        <v>63.43494882292201</v>
      </c>
      <c r="I22" s="8">
        <f t="shared" si="2"/>
        <v>-152.22883771181091</v>
      </c>
      <c r="J22" s="9">
        <f t="shared" si="8"/>
        <v>-5935523.4983961573</v>
      </c>
      <c r="K22" s="9">
        <f t="shared" si="9"/>
        <v>-3125629.6645615324</v>
      </c>
      <c r="L22" s="290">
        <f t="shared" si="10"/>
        <v>6708203.9324993687</v>
      </c>
      <c r="M22" s="8">
        <f t="shared" si="3"/>
        <v>-30167.832377713323</v>
      </c>
      <c r="N22" s="208">
        <f t="shared" si="4"/>
        <v>-15886.294076803799</v>
      </c>
      <c r="O22" s="8"/>
      <c r="P22" s="191">
        <f t="shared" si="11"/>
        <v>99958.765064887106</v>
      </c>
      <c r="Q22" s="10">
        <f t="shared" si="12"/>
        <v>499522.41461025318</v>
      </c>
      <c r="R22" s="10">
        <f t="shared" si="13"/>
        <v>99958.765066373366</v>
      </c>
      <c r="S22" s="10">
        <f t="shared" si="5"/>
        <v>499522.41460947052</v>
      </c>
      <c r="T22" s="277">
        <f t="shared" si="14"/>
        <v>-1.4862598618492484E-6</v>
      </c>
      <c r="U22" s="306">
        <f t="shared" si="15"/>
        <v>7.8266020864248276E-7</v>
      </c>
      <c r="W22" s="321">
        <v>3000000</v>
      </c>
      <c r="X22" s="316">
        <v>6000000</v>
      </c>
      <c r="Y22" s="317">
        <v>99958.767000000007</v>
      </c>
      <c r="Z22" s="317">
        <v>499522.413</v>
      </c>
      <c r="AA22" s="317">
        <v>31.129252220000001</v>
      </c>
      <c r="AB22" s="317">
        <v>29.978804910000001</v>
      </c>
      <c r="AC22" s="105">
        <f t="shared" si="16"/>
        <v>1.9336266414029524E-3</v>
      </c>
      <c r="AD22" s="276">
        <f t="shared" si="17"/>
        <v>-1.6094705206342041E-3</v>
      </c>
    </row>
    <row r="23" spans="1:30" ht="15.7" x14ac:dyDescent="0.5">
      <c r="A23" s="288" t="s">
        <v>30</v>
      </c>
      <c r="B23" s="196" t="s">
        <v>31</v>
      </c>
      <c r="C23" s="291" t="s">
        <v>33</v>
      </c>
      <c r="D23" s="291" t="s">
        <v>32</v>
      </c>
      <c r="E23" s="9">
        <f t="shared" si="0"/>
        <v>10092621</v>
      </c>
      <c r="F23" s="9">
        <f t="shared" si="1"/>
        <v>5571047</v>
      </c>
      <c r="G23" s="9">
        <f t="shared" si="6"/>
        <v>11528120.546118956</v>
      </c>
      <c r="H23" s="8">
        <f t="shared" si="7"/>
        <v>28.898350410626211</v>
      </c>
      <c r="I23" s="8">
        <f t="shared" si="2"/>
        <v>-117.69223929951509</v>
      </c>
      <c r="J23" s="9">
        <f t="shared" si="8"/>
        <v>-5357372.5632372433</v>
      </c>
      <c r="K23" s="9">
        <f t="shared" si="9"/>
        <v>-10207650.197010221</v>
      </c>
      <c r="L23" s="290">
        <f t="shared" si="10"/>
        <v>11528120.546118954</v>
      </c>
      <c r="M23" s="8">
        <f t="shared" si="3"/>
        <v>-27229.328216183978</v>
      </c>
      <c r="N23" s="208">
        <f t="shared" si="4"/>
        <v>-51881.300814822178</v>
      </c>
      <c r="O23" s="8"/>
      <c r="P23" s="191">
        <f t="shared" si="11"/>
        <v>99044.319545149236</v>
      </c>
      <c r="Q23" s="10">
        <f t="shared" si="12"/>
        <v>499597.06668588129</v>
      </c>
      <c r="R23" s="10">
        <f t="shared" si="13"/>
        <v>99044.319546490718</v>
      </c>
      <c r="S23" s="10">
        <f t="shared" si="5"/>
        <v>499597.06668332533</v>
      </c>
      <c r="T23" s="277">
        <f t="shared" si="14"/>
        <v>-1.3414828572422266E-6</v>
      </c>
      <c r="U23" s="306">
        <f t="shared" si="15"/>
        <v>2.5559565983712673E-6</v>
      </c>
      <c r="W23" s="321">
        <v>10092621</v>
      </c>
      <c r="X23" s="316">
        <v>5571047</v>
      </c>
      <c r="Y23" s="317">
        <v>99044.320999999996</v>
      </c>
      <c r="Z23" s="317">
        <v>499597.06199999998</v>
      </c>
      <c r="AA23" s="317">
        <v>31.1300265</v>
      </c>
      <c r="AB23" s="317">
        <v>29.970555709999999</v>
      </c>
      <c r="AC23" s="105">
        <f t="shared" si="16"/>
        <v>1.4535092777805403E-3</v>
      </c>
      <c r="AD23" s="276">
        <f t="shared" si="17"/>
        <v>-4.6833253582008183E-3</v>
      </c>
    </row>
    <row r="24" spans="1:30" ht="15.7" x14ac:dyDescent="0.5">
      <c r="A24" s="288" t="s">
        <v>34</v>
      </c>
      <c r="B24" s="196" t="s">
        <v>35</v>
      </c>
      <c r="C24" s="291" t="s">
        <v>37</v>
      </c>
      <c r="D24" s="291" t="s">
        <v>36</v>
      </c>
      <c r="E24" s="9">
        <f t="shared" si="0"/>
        <v>7828554</v>
      </c>
      <c r="F24" s="9">
        <f t="shared" si="1"/>
        <v>1491863</v>
      </c>
      <c r="G24" s="9">
        <f t="shared" si="6"/>
        <v>7969436.1746415282</v>
      </c>
      <c r="H24" s="8">
        <f t="shared" si="7"/>
        <v>10.789311207891856</v>
      </c>
      <c r="I24" s="8">
        <f t="shared" si="2"/>
        <v>-99.583200096780743</v>
      </c>
      <c r="J24" s="9">
        <f t="shared" si="8"/>
        <v>-1326748.8022304594</v>
      </c>
      <c r="K24" s="9">
        <f t="shared" si="9"/>
        <v>-7858221.8445056025</v>
      </c>
      <c r="L24" s="290">
        <f t="shared" si="10"/>
        <v>7969436.1746415282</v>
      </c>
      <c r="M24" s="8">
        <f t="shared" si="3"/>
        <v>-6743.3201947285106</v>
      </c>
      <c r="N24" s="208">
        <f t="shared" si="4"/>
        <v>-39940.119764665731</v>
      </c>
      <c r="O24" s="8"/>
      <c r="P24" s="191">
        <f t="shared" si="11"/>
        <v>99347.682719690914</v>
      </c>
      <c r="Q24" s="10">
        <f t="shared" si="12"/>
        <v>500117.50937919377</v>
      </c>
      <c r="R24" s="10">
        <f t="shared" si="13"/>
        <v>99347.682720023135</v>
      </c>
      <c r="S24" s="10">
        <f t="shared" si="5"/>
        <v>500117.50937722606</v>
      </c>
      <c r="T24" s="277">
        <f t="shared" si="14"/>
        <v>-3.3222022466361523E-7</v>
      </c>
      <c r="U24" s="306">
        <f t="shared" si="15"/>
        <v>1.9677099771797657E-6</v>
      </c>
      <c r="W24" s="321">
        <v>7828554</v>
      </c>
      <c r="X24" s="316">
        <v>1491863</v>
      </c>
      <c r="Y24" s="317">
        <v>99347.683000000005</v>
      </c>
      <c r="Z24" s="317">
        <v>500117.50599999999</v>
      </c>
      <c r="AA24" s="317">
        <v>31.135418770000001</v>
      </c>
      <c r="AB24" s="317">
        <v>29.973292619999999</v>
      </c>
      <c r="AC24" s="105">
        <f t="shared" si="16"/>
        <v>2.7997686993330717E-4</v>
      </c>
      <c r="AD24" s="276">
        <f t="shared" si="17"/>
        <v>-3.3772260649129748E-3</v>
      </c>
    </row>
    <row r="25" spans="1:30" ht="15.7" x14ac:dyDescent="0.5">
      <c r="A25" s="288" t="s">
        <v>38</v>
      </c>
      <c r="B25" s="196" t="s">
        <v>39</v>
      </c>
      <c r="C25" s="291" t="s">
        <v>41</v>
      </c>
      <c r="D25" s="291" t="s">
        <v>40</v>
      </c>
      <c r="E25" s="9">
        <f t="shared" si="0"/>
        <v>1300292</v>
      </c>
      <c r="F25" s="9">
        <f t="shared" si="1"/>
        <v>1425399</v>
      </c>
      <c r="G25" s="9">
        <f t="shared" si="6"/>
        <v>1929383.7343734915</v>
      </c>
      <c r="H25" s="8">
        <f t="shared" si="7"/>
        <v>47.627985224852701</v>
      </c>
      <c r="I25" s="8">
        <f t="shared" si="2"/>
        <v>-136.42187411374158</v>
      </c>
      <c r="J25" s="9">
        <f t="shared" si="8"/>
        <v>-1397713.2761073045</v>
      </c>
      <c r="K25" s="9">
        <f t="shared" si="9"/>
        <v>-1330007.2151151609</v>
      </c>
      <c r="L25" s="290">
        <f t="shared" si="10"/>
        <v>1929383.7343734915</v>
      </c>
      <c r="M25" s="8">
        <f t="shared" si="3"/>
        <v>-7104.0035200102247</v>
      </c>
      <c r="N25" s="208">
        <f t="shared" si="4"/>
        <v>-6759.8813714721655</v>
      </c>
      <c r="O25" s="8"/>
      <c r="P25" s="191">
        <f t="shared" si="11"/>
        <v>100190.61964600752</v>
      </c>
      <c r="Q25" s="10">
        <f t="shared" si="12"/>
        <v>500108.34629573475</v>
      </c>
      <c r="R25" s="10">
        <f t="shared" si="13"/>
        <v>100190.6196463575</v>
      </c>
      <c r="S25" s="10">
        <f t="shared" si="5"/>
        <v>500108.34629540175</v>
      </c>
      <c r="T25" s="277">
        <f t="shared" si="14"/>
        <v>-3.4998811315745115E-7</v>
      </c>
      <c r="U25" s="306">
        <f t="shared" si="15"/>
        <v>3.3300602808594704E-7</v>
      </c>
      <c r="W25" s="321">
        <v>1300292</v>
      </c>
      <c r="X25" s="316">
        <v>1425399</v>
      </c>
      <c r="Y25" s="317">
        <v>100190.62</v>
      </c>
      <c r="Z25" s="317">
        <v>500108.34600000002</v>
      </c>
      <c r="AA25" s="317">
        <v>31.135323549999999</v>
      </c>
      <c r="AB25" s="317">
        <v>29.980896779999998</v>
      </c>
      <c r="AC25" s="105">
        <f t="shared" si="16"/>
        <v>3.5364249197300524E-4</v>
      </c>
      <c r="AD25" s="276">
        <f t="shared" si="17"/>
        <v>-2.9540172545239329E-4</v>
      </c>
    </row>
    <row r="26" spans="1:30" ht="15.7" x14ac:dyDescent="0.5">
      <c r="A26" s="292" t="s">
        <v>251</v>
      </c>
      <c r="B26" s="289" t="s">
        <v>42</v>
      </c>
      <c r="C26" s="291" t="s">
        <v>44</v>
      </c>
      <c r="D26" s="291" t="s">
        <v>43</v>
      </c>
      <c r="E26" s="9">
        <f t="shared" si="0"/>
        <v>908159</v>
      </c>
      <c r="F26" s="9">
        <f t="shared" si="1"/>
        <v>2242158</v>
      </c>
      <c r="G26" s="9">
        <f t="shared" si="6"/>
        <v>2419095.9605284366</v>
      </c>
      <c r="H26" s="8">
        <f t="shared" si="7"/>
        <v>67.950186335522702</v>
      </c>
      <c r="I26" s="8">
        <f t="shared" si="2"/>
        <v>-156.74407522441157</v>
      </c>
      <c r="J26" s="9">
        <f t="shared" si="8"/>
        <v>-2222545.3475580467</v>
      </c>
      <c r="K26" s="9">
        <f t="shared" si="9"/>
        <v>-955153.09992329532</v>
      </c>
      <c r="L26" s="290">
        <f t="shared" si="10"/>
        <v>2419095.9605284366</v>
      </c>
      <c r="M26" s="8">
        <f t="shared" si="3"/>
        <v>-11296.286758045051</v>
      </c>
      <c r="N26" s="208">
        <f t="shared" si="4"/>
        <v>-4854.6515941391408</v>
      </c>
      <c r="O26" s="8"/>
      <c r="P26" s="191">
        <f t="shared" si="11"/>
        <v>100239.02160483012</v>
      </c>
      <c r="Q26" s="10">
        <f t="shared" si="12"/>
        <v>500001.84222831245</v>
      </c>
      <c r="R26" s="10">
        <f t="shared" si="13"/>
        <v>100239.02160538666</v>
      </c>
      <c r="S26" s="10">
        <f t="shared" si="5"/>
        <v>500001.84222807328</v>
      </c>
      <c r="T26" s="277">
        <f t="shared" si="14"/>
        <v>-5.5653799790889025E-7</v>
      </c>
      <c r="U26" s="306">
        <f t="shared" si="15"/>
        <v>2.3917527869343758E-7</v>
      </c>
      <c r="W26" s="321">
        <v>908159</v>
      </c>
      <c r="X26" s="316">
        <v>2242158</v>
      </c>
      <c r="Y26" s="317">
        <v>100239.022</v>
      </c>
      <c r="Z26" s="317">
        <v>500001.842</v>
      </c>
      <c r="AA26" s="317">
        <v>31.134219909999999</v>
      </c>
      <c r="AB26" s="317">
        <v>29.981333379999999</v>
      </c>
      <c r="AC26" s="105">
        <f t="shared" si="16"/>
        <v>3.9461333653889596E-4</v>
      </c>
      <c r="AD26" s="276">
        <f t="shared" si="17"/>
        <v>-2.2807327331975102E-4</v>
      </c>
    </row>
    <row r="27" spans="1:30" ht="15.7" x14ac:dyDescent="0.5">
      <c r="A27" s="288" t="s">
        <v>45</v>
      </c>
      <c r="B27" s="196" t="s">
        <v>46</v>
      </c>
      <c r="C27" s="291" t="s">
        <v>48</v>
      </c>
      <c r="D27" s="291" t="s">
        <v>47</v>
      </c>
      <c r="E27" s="9">
        <f t="shared" si="0"/>
        <v>1483587</v>
      </c>
      <c r="F27" s="9">
        <f t="shared" si="1"/>
        <v>3431388</v>
      </c>
      <c r="G27" s="9">
        <f t="shared" si="6"/>
        <v>3738375.8496321635</v>
      </c>
      <c r="H27" s="8">
        <f t="shared" si="7"/>
        <v>66.618386667855617</v>
      </c>
      <c r="I27" s="8">
        <f t="shared" si="2"/>
        <v>-155.4122755567445</v>
      </c>
      <c r="J27" s="9">
        <f t="shared" si="8"/>
        <v>-3399399.6507832687</v>
      </c>
      <c r="K27" s="9">
        <f t="shared" si="9"/>
        <v>-1555485.7785809527</v>
      </c>
      <c r="L27" s="290">
        <f t="shared" si="10"/>
        <v>3738375.8496321635</v>
      </c>
      <c r="M27" s="8">
        <f t="shared" si="3"/>
        <v>-17277.754671074534</v>
      </c>
      <c r="N27" s="208">
        <f t="shared" si="4"/>
        <v>-7905.8964633577634</v>
      </c>
      <c r="O27" s="8"/>
      <c r="P27" s="191">
        <f t="shared" si="11"/>
        <v>100161.50537541008</v>
      </c>
      <c r="Q27" s="10">
        <f t="shared" si="12"/>
        <v>499849.88430330536</v>
      </c>
      <c r="R27" s="10">
        <f t="shared" si="13"/>
        <v>100161.5053762613</v>
      </c>
      <c r="S27" s="10">
        <f t="shared" si="5"/>
        <v>499849.88430291583</v>
      </c>
      <c r="T27" s="277">
        <f t="shared" si="14"/>
        <v>-8.51214281283319E-7</v>
      </c>
      <c r="U27" s="306">
        <f t="shared" si="15"/>
        <v>3.8952566683292389E-7</v>
      </c>
      <c r="W27" s="321">
        <v>1483587</v>
      </c>
      <c r="X27" s="316">
        <v>3431388</v>
      </c>
      <c r="Y27" s="317">
        <v>100161.50599999999</v>
      </c>
      <c r="Z27" s="317">
        <v>499849.88400000002</v>
      </c>
      <c r="AA27" s="317">
        <v>31.132645329999999</v>
      </c>
      <c r="AB27" s="317">
        <v>29.980634040000002</v>
      </c>
      <c r="AC27" s="105">
        <f t="shared" si="16"/>
        <v>6.2373869877774268E-4</v>
      </c>
      <c r="AD27" s="276">
        <f t="shared" si="17"/>
        <v>-3.0291581060737371E-4</v>
      </c>
    </row>
    <row r="28" spans="1:30" ht="15.7" x14ac:dyDescent="0.5">
      <c r="A28" s="288" t="s">
        <v>49</v>
      </c>
      <c r="B28" s="196" t="s">
        <v>50</v>
      </c>
      <c r="C28" s="291" t="s">
        <v>52</v>
      </c>
      <c r="D28" s="291" t="s">
        <v>51</v>
      </c>
      <c r="E28" s="9">
        <f t="shared" si="0"/>
        <v>1848869</v>
      </c>
      <c r="F28" s="9">
        <f t="shared" si="1"/>
        <v>4136068</v>
      </c>
      <c r="G28" s="9">
        <f t="shared" si="6"/>
        <v>4530493.9112402527</v>
      </c>
      <c r="H28" s="8">
        <f t="shared" si="7"/>
        <v>65.914818616819417</v>
      </c>
      <c r="I28" s="8">
        <f t="shared" si="2"/>
        <v>-154.7087075057083</v>
      </c>
      <c r="J28" s="9">
        <f t="shared" si="8"/>
        <v>-4096234.6837168173</v>
      </c>
      <c r="K28" s="9">
        <f t="shared" si="9"/>
        <v>-1935519.6965415748</v>
      </c>
      <c r="L28" s="290">
        <f t="shared" si="10"/>
        <v>4530493.9112402527</v>
      </c>
      <c r="M28" s="8">
        <f t="shared" si="3"/>
        <v>-20819.481441112257</v>
      </c>
      <c r="N28" s="208">
        <f t="shared" si="4"/>
        <v>-9837.4530544452427</v>
      </c>
      <c r="O28" s="8"/>
      <c r="P28" s="191">
        <f t="shared" si="11"/>
        <v>100112.43458946203</v>
      </c>
      <c r="Q28" s="10">
        <f t="shared" si="12"/>
        <v>499759.90748511581</v>
      </c>
      <c r="R28" s="10">
        <f t="shared" si="13"/>
        <v>100112.43459048773</v>
      </c>
      <c r="S28" s="10">
        <f t="shared" si="5"/>
        <v>499759.90748463117</v>
      </c>
      <c r="T28" s="277">
        <f t="shared" si="14"/>
        <v>-1.0256917448714375E-6</v>
      </c>
      <c r="U28" s="306">
        <f t="shared" si="15"/>
        <v>4.8463698476552963E-7</v>
      </c>
      <c r="W28" s="321">
        <v>1848869</v>
      </c>
      <c r="X28" s="316">
        <v>4136068</v>
      </c>
      <c r="Y28" s="317">
        <v>100112.436</v>
      </c>
      <c r="Z28" s="317">
        <v>499759.90700000001</v>
      </c>
      <c r="AA28" s="317">
        <v>31.131713009999999</v>
      </c>
      <c r="AB28" s="317">
        <v>29.980191319999999</v>
      </c>
      <c r="AC28" s="105">
        <f t="shared" si="16"/>
        <v>1.4095122751314193E-3</v>
      </c>
      <c r="AD28" s="276">
        <f t="shared" si="17"/>
        <v>-4.8463116399943829E-4</v>
      </c>
    </row>
    <row r="29" spans="1:30" ht="15.7" x14ac:dyDescent="0.5">
      <c r="A29" s="288" t="s">
        <v>53</v>
      </c>
      <c r="B29" s="196" t="s">
        <v>54</v>
      </c>
      <c r="C29" s="291" t="s">
        <v>56</v>
      </c>
      <c r="D29" s="291" t="s">
        <v>55</v>
      </c>
      <c r="E29" s="9">
        <f t="shared" si="0"/>
        <v>1844679</v>
      </c>
      <c r="F29" s="9">
        <f t="shared" si="1"/>
        <v>3173572</v>
      </c>
      <c r="G29" s="9">
        <f t="shared" si="6"/>
        <v>3670749.2221922488</v>
      </c>
      <c r="H29" s="8">
        <f t="shared" si="7"/>
        <v>59.832160889674995</v>
      </c>
      <c r="I29" s="8">
        <f t="shared" si="2"/>
        <v>-148.62604977856387</v>
      </c>
      <c r="J29" s="9">
        <f t="shared" si="8"/>
        <v>-3134040.125935771</v>
      </c>
      <c r="K29" s="9">
        <f t="shared" si="9"/>
        <v>-1911070.9932520811</v>
      </c>
      <c r="L29" s="290">
        <f t="shared" si="10"/>
        <v>3670749.2221922488</v>
      </c>
      <c r="M29" s="8">
        <f t="shared" si="3"/>
        <v>-15929.041003679889</v>
      </c>
      <c r="N29" s="208">
        <f t="shared" si="4"/>
        <v>-9713.1903195930936</v>
      </c>
      <c r="O29" s="8"/>
      <c r="P29" s="191">
        <f t="shared" si="11"/>
        <v>100115.59145791279</v>
      </c>
      <c r="Q29" s="10">
        <f t="shared" si="12"/>
        <v>499884.14808826678</v>
      </c>
      <c r="R29" s="10">
        <f t="shared" si="13"/>
        <v>100115.59145869756</v>
      </c>
      <c r="S29" s="10">
        <f t="shared" si="5"/>
        <v>499884.14808778826</v>
      </c>
      <c r="T29" s="277">
        <f t="shared" si="14"/>
        <v>-7.8477023635059595E-7</v>
      </c>
      <c r="U29" s="306">
        <f t="shared" si="15"/>
        <v>4.7852518036961555E-7</v>
      </c>
      <c r="W29" s="321">
        <v>1844679</v>
      </c>
      <c r="X29" s="316">
        <v>3173572</v>
      </c>
      <c r="Y29" s="317">
        <v>100115.592</v>
      </c>
      <c r="Z29" s="317">
        <v>499884.147</v>
      </c>
      <c r="AA29" s="317">
        <v>31.133000410000001</v>
      </c>
      <c r="AB29" s="317">
        <v>29.980219859999998</v>
      </c>
      <c r="AC29" s="105">
        <f t="shared" si="16"/>
        <v>5.4130244825500995E-4</v>
      </c>
      <c r="AD29" s="276">
        <f t="shared" si="17"/>
        <v>-1.0877882596105337E-3</v>
      </c>
    </row>
    <row r="30" spans="1:30" ht="15.7" x14ac:dyDescent="0.5">
      <c r="A30" s="288" t="s">
        <v>57</v>
      </c>
      <c r="B30" s="196" t="s">
        <v>58</v>
      </c>
      <c r="C30" s="291" t="s">
        <v>60</v>
      </c>
      <c r="D30" s="291" t="s">
        <v>59</v>
      </c>
      <c r="E30" s="9">
        <f t="shared" si="0"/>
        <v>1993386</v>
      </c>
      <c r="F30" s="9">
        <f t="shared" si="1"/>
        <v>2221893</v>
      </c>
      <c r="G30" s="9">
        <f t="shared" si="6"/>
        <v>2985028.6846938338</v>
      </c>
      <c r="H30" s="8">
        <f t="shared" si="7"/>
        <v>48.102922618643852</v>
      </c>
      <c r="I30" s="8">
        <f t="shared" si="2"/>
        <v>-136.89681150753273</v>
      </c>
      <c r="J30" s="9">
        <f t="shared" si="8"/>
        <v>-2179441.8341637403</v>
      </c>
      <c r="K30" s="9">
        <f t="shared" si="9"/>
        <v>-2039713.1023607198</v>
      </c>
      <c r="L30" s="290">
        <f t="shared" si="10"/>
        <v>2985028.6846938338</v>
      </c>
      <c r="M30" s="8">
        <f t="shared" si="3"/>
        <v>-11077.209271902284</v>
      </c>
      <c r="N30" s="208">
        <f t="shared" si="4"/>
        <v>-10367.02541692757</v>
      </c>
      <c r="O30" s="8"/>
      <c r="P30" s="191">
        <f t="shared" si="11"/>
        <v>100098.9809157963</v>
      </c>
      <c r="Q30" s="10">
        <f t="shared" si="12"/>
        <v>500007.40784543083</v>
      </c>
      <c r="R30" s="10">
        <f t="shared" si="13"/>
        <v>100098.98091634204</v>
      </c>
      <c r="S30" s="10">
        <f t="shared" si="5"/>
        <v>500007.40784492012</v>
      </c>
      <c r="T30" s="277">
        <f t="shared" si="14"/>
        <v>-5.4574047680944204E-7</v>
      </c>
      <c r="U30" s="306">
        <f t="shared" si="15"/>
        <v>5.1071401685476303E-7</v>
      </c>
      <c r="W30" s="321">
        <v>1993386</v>
      </c>
      <c r="X30" s="316">
        <v>2221893</v>
      </c>
      <c r="Y30" s="317">
        <v>100098.981</v>
      </c>
      <c r="Z30" s="317">
        <v>500007.40700000001</v>
      </c>
      <c r="AA30" s="317">
        <v>31.134277640000001</v>
      </c>
      <c r="AB30" s="317">
        <v>29.98007007</v>
      </c>
      <c r="AC30" s="105">
        <f t="shared" si="16"/>
        <v>8.3657956565730274E-5</v>
      </c>
      <c r="AD30" s="276">
        <f t="shared" si="17"/>
        <v>-8.4492011228576303E-4</v>
      </c>
    </row>
    <row r="31" spans="1:30" ht="15.7" x14ac:dyDescent="0.5">
      <c r="A31" s="288" t="s">
        <v>61</v>
      </c>
      <c r="B31" s="196" t="s">
        <v>62</v>
      </c>
      <c r="C31" s="291" t="s">
        <v>64</v>
      </c>
      <c r="D31" s="291" t="s">
        <v>63</v>
      </c>
      <c r="E31" s="9">
        <f t="shared" si="0"/>
        <v>1880871</v>
      </c>
      <c r="F31" s="9">
        <f t="shared" si="1"/>
        <v>1381354</v>
      </c>
      <c r="G31" s="9">
        <f t="shared" si="6"/>
        <v>2333626.9179020454</v>
      </c>
      <c r="H31" s="8">
        <f t="shared" si="7"/>
        <v>36.294398080642431</v>
      </c>
      <c r="I31" s="8">
        <f t="shared" si="2"/>
        <v>-125.08828696953131</v>
      </c>
      <c r="J31" s="9">
        <f t="shared" si="8"/>
        <v>-1341457.3950128425</v>
      </c>
      <c r="K31" s="9">
        <f t="shared" si="9"/>
        <v>-1909530.4787623473</v>
      </c>
      <c r="L31" s="290">
        <f t="shared" si="10"/>
        <v>2333626.9179020454</v>
      </c>
      <c r="M31" s="8">
        <f t="shared" si="3"/>
        <v>-6818.0779413183227</v>
      </c>
      <c r="N31" s="208">
        <f t="shared" si="4"/>
        <v>-9705.3605160527186</v>
      </c>
      <c r="O31" s="8"/>
      <c r="P31" s="191">
        <f t="shared" si="11"/>
        <v>100115.79037241278</v>
      </c>
      <c r="Q31" s="10">
        <f t="shared" si="12"/>
        <v>500115.61017448094</v>
      </c>
      <c r="R31" s="10">
        <f t="shared" si="13"/>
        <v>100115.79037274868</v>
      </c>
      <c r="S31" s="10">
        <f t="shared" si="5"/>
        <v>500115.61017400282</v>
      </c>
      <c r="T31" s="277">
        <f t="shared" si="14"/>
        <v>-3.3590185921639204E-7</v>
      </c>
      <c r="U31" s="306">
        <f t="shared" si="15"/>
        <v>4.7811772674322128E-7</v>
      </c>
      <c r="W31" s="321">
        <v>1880871</v>
      </c>
      <c r="X31" s="316">
        <v>1381354</v>
      </c>
      <c r="Y31" s="317">
        <v>100115.79</v>
      </c>
      <c r="Z31" s="317">
        <v>500115.609</v>
      </c>
      <c r="AA31" s="317">
        <v>31.135398840000001</v>
      </c>
      <c r="AB31" s="317">
        <v>29.980221740000001</v>
      </c>
      <c r="AC31" s="105">
        <f t="shared" si="16"/>
        <v>-3.727486910065636E-4</v>
      </c>
      <c r="AD31" s="276">
        <f t="shared" si="17"/>
        <v>-1.1740028276108205E-3</v>
      </c>
    </row>
    <row r="32" spans="1:30" ht="15.7" x14ac:dyDescent="0.5">
      <c r="A32" s="288" t="s">
        <v>65</v>
      </c>
      <c r="B32" s="196" t="s">
        <v>66</v>
      </c>
      <c r="C32" s="291" t="s">
        <v>68</v>
      </c>
      <c r="D32" s="291" t="s">
        <v>67</v>
      </c>
      <c r="E32" s="9">
        <f t="shared" si="0"/>
        <v>2756484</v>
      </c>
      <c r="F32" s="9">
        <f t="shared" si="1"/>
        <v>2298662</v>
      </c>
      <c r="G32" s="9">
        <f t="shared" si="6"/>
        <v>3589157.4265417783</v>
      </c>
      <c r="H32" s="8">
        <f t="shared" si="7"/>
        <v>39.825094675551441</v>
      </c>
      <c r="I32" s="8">
        <f t="shared" si="2"/>
        <v>-128.61898356444033</v>
      </c>
      <c r="J32" s="9">
        <f t="shared" si="8"/>
        <v>-2240131.3334743697</v>
      </c>
      <c r="K32" s="9">
        <f t="shared" si="9"/>
        <v>-2804257.9484217111</v>
      </c>
      <c r="L32" s="290">
        <f t="shared" si="10"/>
        <v>3589157.4265417783</v>
      </c>
      <c r="M32" s="8">
        <f t="shared" si="3"/>
        <v>-11385.669114203496</v>
      </c>
      <c r="N32" s="208">
        <f t="shared" si="4"/>
        <v>-14252.893406068704</v>
      </c>
      <c r="O32" s="8"/>
      <c r="P32" s="191">
        <f t="shared" si="11"/>
        <v>100000.26126285038</v>
      </c>
      <c r="Q32" s="10">
        <f t="shared" si="12"/>
        <v>499999.57148849213</v>
      </c>
      <c r="R32" s="10">
        <f t="shared" si="13"/>
        <v>100000.26126341132</v>
      </c>
      <c r="S32" s="10">
        <f t="shared" si="5"/>
        <v>499999.57148778992</v>
      </c>
      <c r="T32" s="277">
        <f t="shared" si="14"/>
        <v>-5.6093267630785704E-7</v>
      </c>
      <c r="U32" s="306">
        <f t="shared" si="15"/>
        <v>7.022172212600708E-7</v>
      </c>
      <c r="W32" s="321">
        <v>2756484</v>
      </c>
      <c r="X32" s="316">
        <v>2298662</v>
      </c>
      <c r="Y32" s="317">
        <v>100000.262</v>
      </c>
      <c r="Z32" s="317">
        <v>499999.57</v>
      </c>
      <c r="AA32" s="317">
        <v>31.134196490000001</v>
      </c>
      <c r="AB32" s="317">
        <v>29.979179510000002</v>
      </c>
      <c r="AC32" s="105">
        <f t="shared" si="16"/>
        <v>7.3658868495840579E-4</v>
      </c>
      <c r="AD32" s="276">
        <f t="shared" si="17"/>
        <v>-1.4877899084240198E-3</v>
      </c>
    </row>
    <row r="33" spans="1:30" ht="15.7" x14ac:dyDescent="0.5">
      <c r="A33" s="288" t="s">
        <v>69</v>
      </c>
      <c r="B33" s="196" t="s">
        <v>70</v>
      </c>
      <c r="C33" s="291" t="s">
        <v>72</v>
      </c>
      <c r="D33" s="291" t="s">
        <v>71</v>
      </c>
      <c r="E33" s="9">
        <f t="shared" si="0"/>
        <v>3007571</v>
      </c>
      <c r="F33" s="9">
        <f t="shared" si="1"/>
        <v>915729</v>
      </c>
      <c r="G33" s="9">
        <f t="shared" si="6"/>
        <v>3143889.7756572193</v>
      </c>
      <c r="H33" s="8">
        <f t="shared" si="7"/>
        <v>16.934161063924073</v>
      </c>
      <c r="I33" s="8">
        <f t="shared" si="2"/>
        <v>-105.72804995281297</v>
      </c>
      <c r="J33" s="9">
        <f t="shared" si="8"/>
        <v>-852219.58628465107</v>
      </c>
      <c r="K33" s="9">
        <f t="shared" si="9"/>
        <v>-3026179.8853066913</v>
      </c>
      <c r="L33" s="290">
        <f t="shared" si="10"/>
        <v>3143889.7756572193</v>
      </c>
      <c r="M33" s="8">
        <f t="shared" si="3"/>
        <v>-4331.4827470545042</v>
      </c>
      <c r="N33" s="208">
        <f t="shared" si="4"/>
        <v>-15380.831623260936</v>
      </c>
      <c r="O33" s="8"/>
      <c r="P33" s="191">
        <f t="shared" si="11"/>
        <v>99971.606231424521</v>
      </c>
      <c r="Q33" s="10">
        <f t="shared" si="12"/>
        <v>500178.78159854392</v>
      </c>
      <c r="R33" s="10">
        <f t="shared" si="13"/>
        <v>99971.60623163791</v>
      </c>
      <c r="S33" s="10">
        <f t="shared" si="5"/>
        <v>500178.78159778618</v>
      </c>
      <c r="T33" s="277">
        <f t="shared" si="14"/>
        <v>-2.1338928490877151E-7</v>
      </c>
      <c r="U33" s="306">
        <f t="shared" si="15"/>
        <v>7.5774732977151871E-7</v>
      </c>
      <c r="W33" s="321">
        <v>3007571</v>
      </c>
      <c r="X33" s="316">
        <v>915729</v>
      </c>
      <c r="Y33" s="317">
        <v>99971.606</v>
      </c>
      <c r="Z33" s="317">
        <v>500178.78</v>
      </c>
      <c r="AA33" s="317">
        <v>31.13605347</v>
      </c>
      <c r="AB33" s="317">
        <v>29.978921069999998</v>
      </c>
      <c r="AC33" s="105">
        <f t="shared" si="16"/>
        <v>-2.3163791047409177E-4</v>
      </c>
      <c r="AD33" s="276">
        <f t="shared" si="17"/>
        <v>-1.5977861476130784E-3</v>
      </c>
    </row>
    <row r="34" spans="1:30" ht="15.7" x14ac:dyDescent="0.5">
      <c r="A34" s="288" t="s">
        <v>73</v>
      </c>
      <c r="B34" s="196" t="s">
        <v>74</v>
      </c>
      <c r="C34" s="291" t="s">
        <v>76</v>
      </c>
      <c r="D34" s="291" t="s">
        <v>75</v>
      </c>
      <c r="E34" s="9">
        <f t="shared" si="0"/>
        <v>2706202</v>
      </c>
      <c r="F34" s="9">
        <f t="shared" si="1"/>
        <v>1477899</v>
      </c>
      <c r="G34" s="9">
        <f t="shared" si="6"/>
        <v>3083458.2401915225</v>
      </c>
      <c r="H34" s="8">
        <f t="shared" si="7"/>
        <v>28.639640227134528</v>
      </c>
      <c r="I34" s="8">
        <f t="shared" si="2"/>
        <v>-117.43352911602341</v>
      </c>
      <c r="J34" s="9">
        <f t="shared" si="8"/>
        <v>-1420608.5669702254</v>
      </c>
      <c r="K34" s="9">
        <f t="shared" si="9"/>
        <v>-2736710.8028536383</v>
      </c>
      <c r="L34" s="290">
        <f t="shared" si="10"/>
        <v>3083458.240191523</v>
      </c>
      <c r="M34" s="8">
        <f t="shared" si="3"/>
        <v>-7220.3708963971976</v>
      </c>
      <c r="N34" s="208">
        <f t="shared" si="4"/>
        <v>-13909.578959475873</v>
      </c>
      <c r="O34" s="8"/>
      <c r="P34" s="191">
        <f t="shared" si="11"/>
        <v>100008.98309362635</v>
      </c>
      <c r="Q34" s="10">
        <f t="shared" si="12"/>
        <v>500105.39000719297</v>
      </c>
      <c r="R34" s="10">
        <f t="shared" si="13"/>
        <v>100008.98309398207</v>
      </c>
      <c r="S34" s="10">
        <f t="shared" si="5"/>
        <v>500105.39000650769</v>
      </c>
      <c r="T34" s="277">
        <f t="shared" si="14"/>
        <v>-3.5572156775742769E-7</v>
      </c>
      <c r="U34" s="306">
        <f t="shared" si="15"/>
        <v>6.8527879193425179E-7</v>
      </c>
      <c r="W34" s="321">
        <v>2706202</v>
      </c>
      <c r="X34" s="316">
        <v>1477899</v>
      </c>
      <c r="Y34" s="317">
        <v>100008.98299999999</v>
      </c>
      <c r="Z34" s="317">
        <v>500105.38900000002</v>
      </c>
      <c r="AA34" s="317">
        <v>31.135292979999999</v>
      </c>
      <c r="AB34" s="317">
        <v>29.979258229999999</v>
      </c>
      <c r="AC34" s="105">
        <f t="shared" si="16"/>
        <v>-9.3982074758969247E-5</v>
      </c>
      <c r="AD34" s="276">
        <f t="shared" si="17"/>
        <v>-1.006507663987577E-3</v>
      </c>
    </row>
    <row r="35" spans="1:30" ht="15.7" x14ac:dyDescent="0.5">
      <c r="A35" s="288" t="s">
        <v>77</v>
      </c>
      <c r="B35" s="196" t="s">
        <v>78</v>
      </c>
      <c r="C35" s="291" t="s">
        <v>80</v>
      </c>
      <c r="D35" s="291" t="s">
        <v>79</v>
      </c>
      <c r="E35" s="9">
        <f t="shared" si="0"/>
        <v>3672518</v>
      </c>
      <c r="F35" s="9">
        <f t="shared" si="1"/>
        <v>1417048</v>
      </c>
      <c r="G35" s="9">
        <f t="shared" si="6"/>
        <v>3936421.4071448194</v>
      </c>
      <c r="H35" s="8">
        <f t="shared" si="7"/>
        <v>21.099202120202957</v>
      </c>
      <c r="I35" s="8">
        <f t="shared" si="2"/>
        <v>-109.89309100909185</v>
      </c>
      <c r="J35" s="9">
        <f t="shared" si="8"/>
        <v>-1339431.0098685762</v>
      </c>
      <c r="K35" s="9">
        <f t="shared" si="9"/>
        <v>-3701531.8537641205</v>
      </c>
      <c r="L35" s="290">
        <f t="shared" si="10"/>
        <v>3936421.4071448194</v>
      </c>
      <c r="M35" s="8">
        <f t="shared" si="3"/>
        <v>-6807.7786564479266</v>
      </c>
      <c r="N35" s="208">
        <f t="shared" si="4"/>
        <v>-18813.36878462298</v>
      </c>
      <c r="O35" s="8"/>
      <c r="P35" s="191">
        <f t="shared" si="11"/>
        <v>99884.403352108871</v>
      </c>
      <c r="Q35" s="10">
        <f t="shared" si="12"/>
        <v>500115.87182563089</v>
      </c>
      <c r="R35" s="10">
        <f t="shared" si="13"/>
        <v>99884.403352444264</v>
      </c>
      <c r="S35" s="10">
        <f t="shared" si="5"/>
        <v>500115.87182470405</v>
      </c>
      <c r="T35" s="277">
        <f t="shared" si="14"/>
        <v>-3.353925421833992E-7</v>
      </c>
      <c r="U35" s="306">
        <f t="shared" si="15"/>
        <v>9.2684058472514153E-7</v>
      </c>
      <c r="W35" s="321">
        <v>3672518</v>
      </c>
      <c r="X35" s="316">
        <v>1417048</v>
      </c>
      <c r="Y35" s="317">
        <v>99884.403000000006</v>
      </c>
      <c r="Z35" s="317">
        <v>500115.87</v>
      </c>
      <c r="AA35" s="317">
        <v>31.13540163</v>
      </c>
      <c r="AB35" s="317">
        <v>29.978134399999998</v>
      </c>
      <c r="AC35" s="105">
        <f t="shared" si="16"/>
        <v>-3.5244425816927105E-4</v>
      </c>
      <c r="AD35" s="276">
        <f t="shared" si="17"/>
        <v>-1.824704057071358E-3</v>
      </c>
    </row>
    <row r="36" spans="1:30" ht="15.7" x14ac:dyDescent="0.5">
      <c r="A36" s="288" t="s">
        <v>81</v>
      </c>
      <c r="B36" s="196" t="s">
        <v>82</v>
      </c>
      <c r="C36" s="291" t="s">
        <v>84</v>
      </c>
      <c r="D36" s="291" t="s">
        <v>83</v>
      </c>
      <c r="E36" s="9">
        <f t="shared" si="0"/>
        <v>3523071</v>
      </c>
      <c r="F36" s="9">
        <f t="shared" si="1"/>
        <v>2369777</v>
      </c>
      <c r="G36" s="9">
        <f t="shared" si="6"/>
        <v>4245924.1986604044</v>
      </c>
      <c r="H36" s="8">
        <f t="shared" si="7"/>
        <v>33.92656223850674</v>
      </c>
      <c r="I36" s="8">
        <f t="shared" si="2"/>
        <v>-122.72045112739562</v>
      </c>
      <c r="J36" s="9">
        <f t="shared" si="8"/>
        <v>-2295094.6453078841</v>
      </c>
      <c r="K36" s="9">
        <f t="shared" si="9"/>
        <v>-3572172.0101150051</v>
      </c>
      <c r="L36" s="290">
        <f t="shared" si="10"/>
        <v>4245924.1986604044</v>
      </c>
      <c r="M36" s="8">
        <f t="shared" si="3"/>
        <v>-11665.025093295399</v>
      </c>
      <c r="N36" s="208">
        <f t="shared" si="4"/>
        <v>-18155.885736890421</v>
      </c>
      <c r="O36" s="8"/>
      <c r="P36" s="191">
        <f t="shared" si="11"/>
        <v>99901.106569632306</v>
      </c>
      <c r="Q36" s="10">
        <f t="shared" si="12"/>
        <v>499992.4745090318</v>
      </c>
      <c r="R36" s="10">
        <f t="shared" si="13"/>
        <v>99901.106570207005</v>
      </c>
      <c r="S36" s="10">
        <f t="shared" si="5"/>
        <v>499992.47450813733</v>
      </c>
      <c r="T36" s="277">
        <f t="shared" si="14"/>
        <v>-5.7469878811389208E-7</v>
      </c>
      <c r="U36" s="306">
        <f t="shared" si="15"/>
        <v>8.9447712525725365E-7</v>
      </c>
      <c r="W36" s="321">
        <v>3523071</v>
      </c>
      <c r="X36" s="316">
        <v>2369777</v>
      </c>
      <c r="Y36" s="317">
        <v>99901.107000000004</v>
      </c>
      <c r="Z36" s="317">
        <v>499992.473</v>
      </c>
      <c r="AA36" s="317">
        <v>31.134122990000002</v>
      </c>
      <c r="AB36" s="317">
        <v>29.978285029999999</v>
      </c>
      <c r="AC36" s="105">
        <f t="shared" si="16"/>
        <v>4.2979299905709922E-4</v>
      </c>
      <c r="AD36" s="276">
        <f t="shared" si="17"/>
        <v>-1.508137327618897E-3</v>
      </c>
    </row>
    <row r="37" spans="1:30" ht="15.7" x14ac:dyDescent="0.5">
      <c r="A37" s="288" t="s">
        <v>85</v>
      </c>
      <c r="B37" s="196" t="s">
        <v>86</v>
      </c>
      <c r="C37" s="291" t="s">
        <v>88</v>
      </c>
      <c r="D37" s="291" t="s">
        <v>87</v>
      </c>
      <c r="E37" s="9">
        <f t="shared" si="0"/>
        <v>3634188</v>
      </c>
      <c r="F37" s="9">
        <f t="shared" si="1"/>
        <v>3206895</v>
      </c>
      <c r="G37" s="9">
        <f t="shared" si="6"/>
        <v>4846802.85965594</v>
      </c>
      <c r="H37" s="8">
        <f t="shared" si="7"/>
        <v>41.425957255519585</v>
      </c>
      <c r="I37" s="8">
        <f t="shared" si="2"/>
        <v>-130.21984614440848</v>
      </c>
      <c r="J37" s="9">
        <f t="shared" si="8"/>
        <v>-3129688.2689809729</v>
      </c>
      <c r="K37" s="9">
        <f t="shared" si="9"/>
        <v>-3700884.9346300778</v>
      </c>
      <c r="L37" s="290">
        <f t="shared" si="10"/>
        <v>4846802.859655939</v>
      </c>
      <c r="M37" s="8">
        <f t="shared" si="3"/>
        <v>-15906.922299040003</v>
      </c>
      <c r="N37" s="208">
        <f t="shared" si="4"/>
        <v>-18810.080759901484</v>
      </c>
      <c r="O37" s="8"/>
      <c r="P37" s="191">
        <f t="shared" si="11"/>
        <v>99884.486883680263</v>
      </c>
      <c r="Q37" s="10">
        <f t="shared" si="12"/>
        <v>499884.7100092718</v>
      </c>
      <c r="R37" s="10">
        <f t="shared" si="13"/>
        <v>99884.486884463942</v>
      </c>
      <c r="S37" s="10">
        <f t="shared" si="5"/>
        <v>499884.71000834508</v>
      </c>
      <c r="T37" s="277">
        <f t="shared" si="14"/>
        <v>-7.8367884270846844E-7</v>
      </c>
      <c r="U37" s="306">
        <f t="shared" si="15"/>
        <v>9.2672416940331459E-7</v>
      </c>
      <c r="W37" s="321">
        <v>3634188</v>
      </c>
      <c r="X37" s="316">
        <v>3206895</v>
      </c>
      <c r="Y37" s="317">
        <v>99884.487999999998</v>
      </c>
      <c r="Z37" s="317">
        <v>499884.70799999998</v>
      </c>
      <c r="AA37" s="317">
        <v>31.133006349999999</v>
      </c>
      <c r="AB37" s="317">
        <v>29.97813506</v>
      </c>
      <c r="AC37" s="105">
        <f t="shared" si="16"/>
        <v>1.1155360552947968E-3</v>
      </c>
      <c r="AD37" s="276">
        <f t="shared" si="17"/>
        <v>-2.0083450945094228E-3</v>
      </c>
    </row>
    <row r="38" spans="1:30" ht="15.7" x14ac:dyDescent="0.5">
      <c r="A38" s="288" t="s">
        <v>89</v>
      </c>
      <c r="B38" s="196" t="s">
        <v>90</v>
      </c>
      <c r="C38" s="291" t="s">
        <v>92</v>
      </c>
      <c r="D38" s="291" t="s">
        <v>91</v>
      </c>
      <c r="E38" s="9">
        <f t="shared" si="0"/>
        <v>2745956</v>
      </c>
      <c r="F38" s="9">
        <f t="shared" si="1"/>
        <v>3073389</v>
      </c>
      <c r="G38" s="9">
        <f t="shared" si="6"/>
        <v>4121406.8349602423</v>
      </c>
      <c r="H38" s="8">
        <f t="shared" si="7"/>
        <v>48.220425757953016</v>
      </c>
      <c r="I38" s="8">
        <f t="shared" si="2"/>
        <v>-137.01431464684191</v>
      </c>
      <c r="J38" s="9">
        <f t="shared" si="8"/>
        <v>-3014908.2925841413</v>
      </c>
      <c r="K38" s="9">
        <f t="shared" si="9"/>
        <v>-2810039.5524910996</v>
      </c>
      <c r="L38" s="290">
        <f t="shared" si="10"/>
        <v>4121406.8349602423</v>
      </c>
      <c r="M38" s="8">
        <f t="shared" si="3"/>
        <v>-15323.54273880523</v>
      </c>
      <c r="N38" s="208">
        <f t="shared" si="4"/>
        <v>-14282.278929095737</v>
      </c>
      <c r="O38" s="8"/>
      <c r="P38" s="191">
        <f t="shared" si="11"/>
        <v>99999.514729863949</v>
      </c>
      <c r="Q38" s="10">
        <f t="shared" si="12"/>
        <v>499899.53064339602</v>
      </c>
      <c r="R38" s="10">
        <f t="shared" si="13"/>
        <v>99999.514730618888</v>
      </c>
      <c r="S38" s="10">
        <f t="shared" si="5"/>
        <v>499899.53064269235</v>
      </c>
      <c r="T38" s="277">
        <f t="shared" si="14"/>
        <v>-7.549388101324439E-7</v>
      </c>
      <c r="U38" s="306">
        <f t="shared" si="15"/>
        <v>7.0367241278290749E-7</v>
      </c>
      <c r="W38" s="321">
        <v>2745956</v>
      </c>
      <c r="X38" s="316">
        <v>3073389</v>
      </c>
      <c r="Y38" s="317">
        <v>99999.514999999999</v>
      </c>
      <c r="Z38" s="317">
        <v>499899.52899999998</v>
      </c>
      <c r="AA38" s="317">
        <v>31.133159859999999</v>
      </c>
      <c r="AB38" s="317">
        <v>29.979172739999999</v>
      </c>
      <c r="AC38" s="105">
        <f t="shared" si="16"/>
        <v>2.6938111113850027E-4</v>
      </c>
      <c r="AD38" s="276">
        <f t="shared" si="17"/>
        <v>-1.6426923684775829E-3</v>
      </c>
    </row>
    <row r="39" spans="1:30" ht="15.7" x14ac:dyDescent="0.5">
      <c r="A39" s="288" t="s">
        <v>93</v>
      </c>
      <c r="B39" s="196" t="s">
        <v>94</v>
      </c>
      <c r="C39" s="291" t="s">
        <v>96</v>
      </c>
      <c r="D39" s="291" t="s">
        <v>95</v>
      </c>
      <c r="E39" s="9">
        <f t="shared" si="0"/>
        <v>2926171</v>
      </c>
      <c r="F39" s="9">
        <f t="shared" si="1"/>
        <v>3863947</v>
      </c>
      <c r="G39" s="9">
        <f t="shared" si="6"/>
        <v>4846912.743185089</v>
      </c>
      <c r="H39" s="8">
        <f t="shared" si="7"/>
        <v>52.863315995366641</v>
      </c>
      <c r="I39" s="8">
        <f t="shared" si="2"/>
        <v>-141.65720488425552</v>
      </c>
      <c r="J39" s="9">
        <f t="shared" si="8"/>
        <v>-3801497.7842716151</v>
      </c>
      <c r="K39" s="9">
        <f t="shared" si="9"/>
        <v>-3006855.1239173468</v>
      </c>
      <c r="L39" s="290">
        <f t="shared" si="10"/>
        <v>4846912.743185089</v>
      </c>
      <c r="M39" s="8">
        <f t="shared" si="3"/>
        <v>-19321.454623361067</v>
      </c>
      <c r="N39" s="208">
        <f t="shared" si="4"/>
        <v>-15282.611784271066</v>
      </c>
      <c r="O39" s="8"/>
      <c r="P39" s="191">
        <f t="shared" si="11"/>
        <v>99974.101485623731</v>
      </c>
      <c r="Q39" s="10">
        <f t="shared" si="12"/>
        <v>499797.96453902638</v>
      </c>
      <c r="R39" s="10">
        <f t="shared" si="13"/>
        <v>99974.10148657563</v>
      </c>
      <c r="S39" s="10">
        <f t="shared" si="5"/>
        <v>499797.96453827346</v>
      </c>
      <c r="T39" s="277">
        <f t="shared" si="14"/>
        <v>-9.5189898274838924E-7</v>
      </c>
      <c r="U39" s="306">
        <f t="shared" si="15"/>
        <v>7.5291609391570091E-7</v>
      </c>
      <c r="W39" s="321">
        <v>2926171</v>
      </c>
      <c r="X39" s="316">
        <v>3863947</v>
      </c>
      <c r="Y39" s="317">
        <v>99974.103000000003</v>
      </c>
      <c r="Z39" s="317">
        <v>499797.96299999999</v>
      </c>
      <c r="AA39" s="317">
        <v>31.132107449999999</v>
      </c>
      <c r="AB39" s="317">
        <v>29.978943439999998</v>
      </c>
      <c r="AC39" s="105">
        <f t="shared" si="16"/>
        <v>1.5134243731154129E-3</v>
      </c>
      <c r="AD39" s="276">
        <f t="shared" si="17"/>
        <v>-1.538273470941931E-3</v>
      </c>
    </row>
    <row r="40" spans="1:30" ht="15.7" x14ac:dyDescent="0.5">
      <c r="A40" s="288" t="s">
        <v>97</v>
      </c>
      <c r="B40" s="196" t="s">
        <v>98</v>
      </c>
      <c r="C40" s="291" t="s">
        <v>100</v>
      </c>
      <c r="D40" s="291" t="s">
        <v>99</v>
      </c>
      <c r="E40" s="9">
        <f t="shared" si="0"/>
        <v>4415043</v>
      </c>
      <c r="F40" s="9">
        <f t="shared" si="1"/>
        <v>1704140</v>
      </c>
      <c r="G40" s="9">
        <f t="shared" si="6"/>
        <v>4732514.9583967505</v>
      </c>
      <c r="H40" s="8">
        <f t="shared" si="7"/>
        <v>21.105836089406111</v>
      </c>
      <c r="I40" s="8">
        <f t="shared" si="2"/>
        <v>-109.899724978295</v>
      </c>
      <c r="J40" s="9">
        <f t="shared" si="8"/>
        <v>-1610829.9530919709</v>
      </c>
      <c r="K40" s="9">
        <f t="shared" si="9"/>
        <v>-4449935.3583699074</v>
      </c>
      <c r="L40" s="290">
        <f t="shared" si="10"/>
        <v>4732514.9583967505</v>
      </c>
      <c r="M40" s="8">
        <f t="shared" si="3"/>
        <v>-8187.1882112857202</v>
      </c>
      <c r="N40" s="208">
        <f t="shared" si="4"/>
        <v>-22617.196953097307</v>
      </c>
      <c r="O40" s="8"/>
      <c r="P40" s="191">
        <f t="shared" si="11"/>
        <v>99787.767903424814</v>
      </c>
      <c r="Q40" s="10">
        <f t="shared" si="12"/>
        <v>500080.82821815263</v>
      </c>
      <c r="R40" s="10">
        <f t="shared" si="13"/>
        <v>99787.767903828164</v>
      </c>
      <c r="S40" s="10">
        <f t="shared" si="5"/>
        <v>500080.82821703836</v>
      </c>
      <c r="T40" s="277">
        <f t="shared" si="14"/>
        <v>-4.033499862998724E-7</v>
      </c>
      <c r="U40" s="306">
        <f t="shared" si="15"/>
        <v>1.1142692528665066E-6</v>
      </c>
      <c r="W40" s="321">
        <v>4415043</v>
      </c>
      <c r="X40" s="316">
        <v>1704140</v>
      </c>
      <c r="Y40" s="317">
        <v>99787.767999999996</v>
      </c>
      <c r="Z40" s="317">
        <v>500080.826</v>
      </c>
      <c r="AA40" s="317">
        <v>31.13503854</v>
      </c>
      <c r="AB40" s="317">
        <v>29.977262629999998</v>
      </c>
      <c r="AC40" s="105">
        <f t="shared" si="16"/>
        <v>9.6171832410618663E-5</v>
      </c>
      <c r="AD40" s="276">
        <f t="shared" si="17"/>
        <v>-2.2170383599586785E-3</v>
      </c>
    </row>
    <row r="41" spans="1:30" ht="15.7" x14ac:dyDescent="0.5">
      <c r="A41" s="288" t="s">
        <v>101</v>
      </c>
      <c r="B41" s="196" t="s">
        <v>102</v>
      </c>
      <c r="C41" s="291" t="s">
        <v>104</v>
      </c>
      <c r="D41" s="291" t="s">
        <v>103</v>
      </c>
      <c r="E41" s="9">
        <f t="shared" si="0"/>
        <v>4306415</v>
      </c>
      <c r="F41" s="9">
        <f t="shared" si="1"/>
        <v>3255538</v>
      </c>
      <c r="G41" s="9">
        <f t="shared" si="6"/>
        <v>5398494.0327529302</v>
      </c>
      <c r="H41" s="8">
        <f t="shared" si="7"/>
        <v>37.088334529527557</v>
      </c>
      <c r="I41" s="8">
        <f t="shared" si="2"/>
        <v>-125.88222341841644</v>
      </c>
      <c r="J41" s="9">
        <f t="shared" si="8"/>
        <v>-3164170.74848472</v>
      </c>
      <c r="K41" s="9">
        <f t="shared" si="9"/>
        <v>-4373986.8879664745</v>
      </c>
      <c r="L41" s="290">
        <f t="shared" si="10"/>
        <v>5398494.0327529302</v>
      </c>
      <c r="M41" s="8">
        <f t="shared" si="3"/>
        <v>-16082.182604540953</v>
      </c>
      <c r="N41" s="208">
        <f t="shared" si="4"/>
        <v>-22231.182016909523</v>
      </c>
      <c r="O41" s="8"/>
      <c r="P41" s="191">
        <f t="shared" si="11"/>
        <v>99797.574531091755</v>
      </c>
      <c r="Q41" s="10">
        <f t="shared" si="12"/>
        <v>499880.25755834382</v>
      </c>
      <c r="R41" s="10">
        <f t="shared" si="13"/>
        <v>99797.574531884064</v>
      </c>
      <c r="S41" s="10">
        <f t="shared" si="5"/>
        <v>499880.25755724858</v>
      </c>
      <c r="T41" s="277">
        <f t="shared" si="14"/>
        <v>-7.9230812843888998E-7</v>
      </c>
      <c r="U41" s="306">
        <f t="shared" si="15"/>
        <v>1.0952353477478027E-6</v>
      </c>
      <c r="W41" s="321">
        <v>4306415</v>
      </c>
      <c r="X41" s="316">
        <v>3255538</v>
      </c>
      <c r="Y41" s="317">
        <v>99797.574999999997</v>
      </c>
      <c r="Z41" s="317">
        <v>499880.25599999999</v>
      </c>
      <c r="AA41" s="317">
        <v>31.132960260000001</v>
      </c>
      <c r="AB41" s="317">
        <v>29.97735102</v>
      </c>
      <c r="AC41" s="105">
        <f t="shared" si="16"/>
        <v>4.6811593347229064E-4</v>
      </c>
      <c r="AD41" s="276">
        <f t="shared" si="17"/>
        <v>-1.5572485863231122E-3</v>
      </c>
    </row>
    <row r="42" spans="1:30" ht="15.7" x14ac:dyDescent="0.5">
      <c r="A42" s="288" t="s">
        <v>105</v>
      </c>
      <c r="B42" s="196" t="s">
        <v>106</v>
      </c>
      <c r="C42" s="291" t="s">
        <v>108</v>
      </c>
      <c r="D42" s="291" t="s">
        <v>107</v>
      </c>
      <c r="E42" s="9">
        <f t="shared" si="0"/>
        <v>4732762</v>
      </c>
      <c r="F42" s="9">
        <f t="shared" si="1"/>
        <v>4900971</v>
      </c>
      <c r="G42" s="9">
        <f t="shared" si="6"/>
        <v>6813116.2393933218</v>
      </c>
      <c r="H42" s="8">
        <f t="shared" si="7"/>
        <v>46.00030658476669</v>
      </c>
      <c r="I42" s="8">
        <f t="shared" si="2"/>
        <v>-134.79419547365558</v>
      </c>
      <c r="J42" s="9">
        <f t="shared" si="8"/>
        <v>-4800264.9914646214</v>
      </c>
      <c r="K42" s="9">
        <f t="shared" si="9"/>
        <v>-4834874.2386130542</v>
      </c>
      <c r="L42" s="290">
        <f t="shared" si="10"/>
        <v>6813116.2393933218</v>
      </c>
      <c r="M42" s="8">
        <f t="shared" si="3"/>
        <v>-24397.778842968168</v>
      </c>
      <c r="N42" s="208">
        <f t="shared" si="4"/>
        <v>-24573.683456432322</v>
      </c>
      <c r="O42" s="8"/>
      <c r="P42" s="191">
        <f t="shared" si="11"/>
        <v>99738.063778338139</v>
      </c>
      <c r="Q42" s="10">
        <f t="shared" si="12"/>
        <v>499669.0015977734</v>
      </c>
      <c r="R42" s="10">
        <f t="shared" si="13"/>
        <v>99738.063779540127</v>
      </c>
      <c r="S42" s="10">
        <f t="shared" si="5"/>
        <v>499669.00159656274</v>
      </c>
      <c r="T42" s="277">
        <f t="shared" si="14"/>
        <v>-1.201988197863102E-6</v>
      </c>
      <c r="U42" s="306">
        <f t="shared" si="15"/>
        <v>1.2106611393392086E-6</v>
      </c>
      <c r="W42" s="321">
        <v>4732762</v>
      </c>
      <c r="X42" s="316">
        <v>4900971</v>
      </c>
      <c r="Y42" s="317">
        <v>99738.065000000002</v>
      </c>
      <c r="Z42" s="317">
        <v>499669</v>
      </c>
      <c r="AA42" s="317">
        <v>31.13077131</v>
      </c>
      <c r="AB42" s="317">
        <v>29.976814059999999</v>
      </c>
      <c r="AC42" s="105">
        <f t="shared" si="16"/>
        <v>1.2204598751850426E-3</v>
      </c>
      <c r="AD42" s="276">
        <f t="shared" si="17"/>
        <v>-1.5965627389959991E-3</v>
      </c>
    </row>
    <row r="43" spans="1:30" ht="15.7" x14ac:dyDescent="0.5">
      <c r="A43" s="288" t="s">
        <v>109</v>
      </c>
      <c r="B43" s="196" t="s">
        <v>110</v>
      </c>
      <c r="C43" s="291" t="s">
        <v>112</v>
      </c>
      <c r="D43" s="291" t="s">
        <v>111</v>
      </c>
      <c r="E43" s="9">
        <f t="shared" si="0"/>
        <v>4146945</v>
      </c>
      <c r="F43" s="9">
        <f t="shared" si="1"/>
        <v>5968245</v>
      </c>
      <c r="G43" s="9">
        <f t="shared" si="6"/>
        <v>7267537.4930611812</v>
      </c>
      <c r="H43" s="8">
        <f t="shared" si="7"/>
        <v>55.207077990381919</v>
      </c>
      <c r="I43" s="8">
        <f t="shared" si="2"/>
        <v>-144.00096687927081</v>
      </c>
      <c r="J43" s="9">
        <f t="shared" si="8"/>
        <v>-5879633.4250792013</v>
      </c>
      <c r="K43" s="9">
        <f t="shared" si="9"/>
        <v>-4271652.1393649811</v>
      </c>
      <c r="L43" s="290">
        <f t="shared" si="10"/>
        <v>7267537.4930611812</v>
      </c>
      <c r="M43" s="8">
        <f t="shared" si="3"/>
        <v>-29883.766049973296</v>
      </c>
      <c r="N43" s="208">
        <f t="shared" si="4"/>
        <v>-21711.056447015057</v>
      </c>
      <c r="O43" s="8"/>
      <c r="P43" s="191">
        <f t="shared" si="11"/>
        <v>99810.788210993327</v>
      </c>
      <c r="Q43" s="10">
        <f t="shared" si="12"/>
        <v>499529.63125512289</v>
      </c>
      <c r="R43" s="10">
        <f t="shared" si="13"/>
        <v>99810.788212465588</v>
      </c>
      <c r="S43" s="10">
        <f t="shared" si="5"/>
        <v>499529.63125405327</v>
      </c>
      <c r="T43" s="277">
        <f t="shared" si="14"/>
        <v>-1.4722609193995595E-6</v>
      </c>
      <c r="U43" s="306">
        <f t="shared" si="15"/>
        <v>1.0696239769458771E-6</v>
      </c>
      <c r="W43" s="321">
        <v>4146945</v>
      </c>
      <c r="X43" s="316">
        <v>5968245</v>
      </c>
      <c r="Y43" s="317">
        <v>99810.79</v>
      </c>
      <c r="Z43" s="317">
        <v>499529.62900000002</v>
      </c>
      <c r="AA43" s="317">
        <v>31.12932713</v>
      </c>
      <c r="AB43" s="317">
        <v>29.977470010000001</v>
      </c>
      <c r="AC43" s="105">
        <f t="shared" si="16"/>
        <v>1.7875344055937603E-3</v>
      </c>
      <c r="AD43" s="276">
        <f t="shared" si="17"/>
        <v>-2.2540532518178225E-3</v>
      </c>
    </row>
    <row r="44" spans="1:30" ht="15.7" x14ac:dyDescent="0.5">
      <c r="A44" s="288" t="s">
        <v>113</v>
      </c>
      <c r="B44" s="196" t="s">
        <v>114</v>
      </c>
      <c r="C44" s="291" t="s">
        <v>116</v>
      </c>
      <c r="D44" s="291" t="s">
        <v>115</v>
      </c>
      <c r="E44" s="9">
        <f t="shared" si="0"/>
        <v>4592901</v>
      </c>
      <c r="F44" s="9">
        <f t="shared" si="1"/>
        <v>5758968</v>
      </c>
      <c r="G44" s="9">
        <f t="shared" si="6"/>
        <v>7366169.4265625607</v>
      </c>
      <c r="H44" s="8">
        <f t="shared" si="7"/>
        <v>51.426885259968152</v>
      </c>
      <c r="I44" s="8">
        <f t="shared" si="2"/>
        <v>-140.22077414885703</v>
      </c>
      <c r="J44" s="9">
        <f t="shared" si="8"/>
        <v>-5661015.8390934803</v>
      </c>
      <c r="K44" s="9">
        <f t="shared" si="9"/>
        <v>-4713104.2520145625</v>
      </c>
      <c r="L44" s="290">
        <f t="shared" si="10"/>
        <v>7366169.4265625617</v>
      </c>
      <c r="M44" s="8">
        <f t="shared" si="3"/>
        <v>-28772.622493618132</v>
      </c>
      <c r="N44" s="208">
        <f t="shared" si="4"/>
        <v>-23954.776540246694</v>
      </c>
      <c r="O44" s="8"/>
      <c r="P44" s="191">
        <f t="shared" si="11"/>
        <v>99753.786977412936</v>
      </c>
      <c r="Q44" s="10">
        <f t="shared" si="12"/>
        <v>499557.85962174856</v>
      </c>
      <c r="R44" s="10">
        <f t="shared" si="13"/>
        <v>99753.786978830452</v>
      </c>
      <c r="S44" s="10">
        <f t="shared" si="5"/>
        <v>499557.8596205684</v>
      </c>
      <c r="T44" s="277">
        <f t="shared" si="14"/>
        <v>-1.4175166143104434E-6</v>
      </c>
      <c r="U44" s="306">
        <f t="shared" si="15"/>
        <v>1.1801603250205517E-6</v>
      </c>
      <c r="W44" s="321">
        <v>4592901</v>
      </c>
      <c r="X44" s="316">
        <v>5758968</v>
      </c>
      <c r="Y44" s="317">
        <v>99753.789000000004</v>
      </c>
      <c r="Z44" s="317">
        <v>499557.85800000001</v>
      </c>
      <c r="AA44" s="317">
        <v>31.12961967</v>
      </c>
      <c r="AB44" s="317">
        <v>29.976955820000001</v>
      </c>
      <c r="AC44" s="105">
        <f t="shared" si="16"/>
        <v>2.0211695518810302E-3</v>
      </c>
      <c r="AD44" s="276">
        <f t="shared" si="17"/>
        <v>-1.6205683932639658E-3</v>
      </c>
    </row>
    <row r="45" spans="1:30" ht="15.7" x14ac:dyDescent="0.5">
      <c r="A45" s="288" t="s">
        <v>117</v>
      </c>
      <c r="B45" s="196" t="s">
        <v>118</v>
      </c>
      <c r="C45" s="291" t="s">
        <v>120</v>
      </c>
      <c r="D45" s="291" t="s">
        <v>119</v>
      </c>
      <c r="E45" s="9">
        <f t="shared" si="0"/>
        <v>4632817</v>
      </c>
      <c r="F45" s="9">
        <f t="shared" si="1"/>
        <v>4092173</v>
      </c>
      <c r="G45" s="9">
        <f t="shared" si="6"/>
        <v>6181332.6408969453</v>
      </c>
      <c r="H45" s="8">
        <f t="shared" si="7"/>
        <v>41.454200642875051</v>
      </c>
      <c r="I45" s="8">
        <f t="shared" si="2"/>
        <v>-130.24808953176392</v>
      </c>
      <c r="J45" s="9">
        <f t="shared" si="8"/>
        <v>-3993749.9332814412</v>
      </c>
      <c r="K45" s="9">
        <f t="shared" si="9"/>
        <v>-4717926.9481237708</v>
      </c>
      <c r="L45" s="290">
        <f t="shared" si="10"/>
        <v>6181332.6408969443</v>
      </c>
      <c r="M45" s="8">
        <f t="shared" si="3"/>
        <v>-20298.593473396919</v>
      </c>
      <c r="N45" s="208">
        <f t="shared" si="4"/>
        <v>-23979.288327264396</v>
      </c>
      <c r="O45" s="8"/>
      <c r="P45" s="191">
        <f t="shared" si="11"/>
        <v>99753.164260657184</v>
      </c>
      <c r="Q45" s="10">
        <f t="shared" si="12"/>
        <v>499773.14053357253</v>
      </c>
      <c r="R45" s="10">
        <f t="shared" si="13"/>
        <v>99753.164261657221</v>
      </c>
      <c r="S45" s="10">
        <f t="shared" si="5"/>
        <v>499773.14053239115</v>
      </c>
      <c r="T45" s="277">
        <f t="shared" si="14"/>
        <v>-1.0000367183238268E-6</v>
      </c>
      <c r="U45" s="306">
        <f t="shared" si="15"/>
        <v>1.1813826858997345E-6</v>
      </c>
      <c r="W45" s="321">
        <v>4632817</v>
      </c>
      <c r="X45" s="316">
        <v>4092173</v>
      </c>
      <c r="Y45" s="317">
        <v>99753.164999999994</v>
      </c>
      <c r="Z45" s="317">
        <v>499773.13900000002</v>
      </c>
      <c r="AA45" s="317">
        <v>31.131850369999999</v>
      </c>
      <c r="AB45" s="317">
        <v>29.976950339999998</v>
      </c>
      <c r="AC45" s="105">
        <f t="shared" si="16"/>
        <v>7.3834277282003313E-4</v>
      </c>
      <c r="AD45" s="276">
        <f t="shared" si="17"/>
        <v>-1.5323911211453378E-3</v>
      </c>
    </row>
    <row r="46" spans="1:30" ht="15.7" x14ac:dyDescent="0.5">
      <c r="A46" s="288" t="s">
        <v>121</v>
      </c>
      <c r="B46" s="196" t="s">
        <v>122</v>
      </c>
      <c r="C46" s="291" t="s">
        <v>124</v>
      </c>
      <c r="D46" s="291" t="s">
        <v>123</v>
      </c>
      <c r="E46" s="9">
        <f t="shared" si="0"/>
        <v>6251313</v>
      </c>
      <c r="F46" s="9">
        <f t="shared" si="1"/>
        <v>4157284</v>
      </c>
      <c r="G46" s="9">
        <f t="shared" si="6"/>
        <v>7507457.9239996411</v>
      </c>
      <c r="H46" s="8">
        <f t="shared" si="7"/>
        <v>33.624928375192241</v>
      </c>
      <c r="I46" s="8">
        <f t="shared" si="2"/>
        <v>-122.41881726408113</v>
      </c>
      <c r="J46" s="9">
        <f t="shared" si="8"/>
        <v>-4024778.6956153908</v>
      </c>
      <c r="K46" s="9">
        <f t="shared" si="9"/>
        <v>-6337434.8858150383</v>
      </c>
      <c r="L46" s="290">
        <f t="shared" si="10"/>
        <v>7507457.9239996411</v>
      </c>
      <c r="M46" s="8">
        <f t="shared" si="3"/>
        <v>-20456.299950547829</v>
      </c>
      <c r="N46" s="208">
        <f t="shared" si="4"/>
        <v>-32210.583176294655</v>
      </c>
      <c r="O46" s="8"/>
      <c r="P46" s="191">
        <f t="shared" si="11"/>
        <v>99544.049959023032</v>
      </c>
      <c r="Q46" s="10">
        <f t="shared" si="12"/>
        <v>499769.13403393456</v>
      </c>
      <c r="R46" s="10">
        <f t="shared" si="13"/>
        <v>99544.049960030839</v>
      </c>
      <c r="S46" s="10">
        <f t="shared" si="5"/>
        <v>499769.13403234765</v>
      </c>
      <c r="T46" s="277">
        <f t="shared" si="14"/>
        <v>-1.0078074410557747E-6</v>
      </c>
      <c r="U46" s="306">
        <f t="shared" si="15"/>
        <v>1.5869154594838619E-6</v>
      </c>
      <c r="W46" s="321">
        <v>6251313</v>
      </c>
      <c r="X46" s="316">
        <v>4157284</v>
      </c>
      <c r="Y46" s="317">
        <v>99544.051000000007</v>
      </c>
      <c r="Z46" s="317">
        <v>499769.13099999999</v>
      </c>
      <c r="AA46" s="317">
        <v>31.13180899</v>
      </c>
      <c r="AB46" s="317">
        <v>29.975063909999999</v>
      </c>
      <c r="AC46" s="105">
        <f t="shared" si="16"/>
        <v>1.0399691673228517E-3</v>
      </c>
      <c r="AD46" s="276">
        <f t="shared" si="17"/>
        <v>-3.0323476530611515E-3</v>
      </c>
    </row>
    <row r="47" spans="1:30" ht="15.7" x14ac:dyDescent="0.5">
      <c r="A47" s="288" t="s">
        <v>125</v>
      </c>
      <c r="B47" s="196" t="s">
        <v>126</v>
      </c>
      <c r="C47" s="291" t="s">
        <v>128</v>
      </c>
      <c r="D47" s="291" t="s">
        <v>127</v>
      </c>
      <c r="E47" s="9">
        <f t="shared" si="0"/>
        <v>6262182</v>
      </c>
      <c r="F47" s="9">
        <f t="shared" si="1"/>
        <v>5785021</v>
      </c>
      <c r="G47" s="9">
        <f t="shared" si="6"/>
        <v>8525338.1969025135</v>
      </c>
      <c r="H47" s="8">
        <f t="shared" si="7"/>
        <v>42.731836295379672</v>
      </c>
      <c r="I47" s="8">
        <f t="shared" si="2"/>
        <v>-131.52572518426857</v>
      </c>
      <c r="J47" s="9">
        <f t="shared" si="8"/>
        <v>-5651926.27868059</v>
      </c>
      <c r="K47" s="9">
        <f t="shared" si="9"/>
        <v>-6382563.8039838485</v>
      </c>
      <c r="L47" s="290">
        <f t="shared" si="10"/>
        <v>8525338.1969025135</v>
      </c>
      <c r="M47" s="8">
        <f t="shared" si="3"/>
        <v>-28726.423984759178</v>
      </c>
      <c r="N47" s="208">
        <f t="shared" si="4"/>
        <v>-32439.954964490265</v>
      </c>
      <c r="O47" s="8"/>
      <c r="P47" s="191">
        <f t="shared" si="11"/>
        <v>99538.222817342074</v>
      </c>
      <c r="Q47" s="10">
        <f t="shared" si="12"/>
        <v>499559.03328507778</v>
      </c>
      <c r="R47" s="10">
        <f t="shared" si="13"/>
        <v>99538.22281875732</v>
      </c>
      <c r="S47" s="10">
        <f t="shared" si="5"/>
        <v>499559.03328347963</v>
      </c>
      <c r="T47" s="277">
        <f t="shared" si="14"/>
        <v>-1.4152465155348182E-6</v>
      </c>
      <c r="U47" s="306">
        <f t="shared" si="15"/>
        <v>1.5981495380401611E-6</v>
      </c>
      <c r="W47" s="321">
        <v>6262182</v>
      </c>
      <c r="X47" s="316">
        <v>5785021</v>
      </c>
      <c r="Y47" s="317">
        <v>99538.225000000006</v>
      </c>
      <c r="Z47" s="317">
        <v>499559.03100000002</v>
      </c>
      <c r="AA47" s="317">
        <v>31.129632010000002</v>
      </c>
      <c r="AB47" s="317">
        <v>29.975011210000002</v>
      </c>
      <c r="AC47" s="105">
        <f t="shared" si="16"/>
        <v>2.181242685765028E-3</v>
      </c>
      <c r="AD47" s="276">
        <f t="shared" si="17"/>
        <v>-2.2834796109236777E-3</v>
      </c>
    </row>
    <row r="48" spans="1:30" ht="15.7" x14ac:dyDescent="0.5">
      <c r="A48" s="288" t="s">
        <v>129</v>
      </c>
      <c r="B48" s="196" t="s">
        <v>130</v>
      </c>
      <c r="C48" s="291" t="s">
        <v>132</v>
      </c>
      <c r="D48" s="291" t="s">
        <v>131</v>
      </c>
      <c r="E48" s="9">
        <f t="shared" si="0"/>
        <v>5950148</v>
      </c>
      <c r="F48" s="9">
        <f t="shared" si="1"/>
        <v>6000994</v>
      </c>
      <c r="G48" s="9">
        <f t="shared" si="6"/>
        <v>8450810.0327684563</v>
      </c>
      <c r="H48" s="8">
        <f t="shared" si="7"/>
        <v>45.243762782500752</v>
      </c>
      <c r="I48" s="8">
        <f t="shared" si="2"/>
        <v>-134.03765167138965</v>
      </c>
      <c r="J48" s="9">
        <f t="shared" si="8"/>
        <v>-5874419.4495330984</v>
      </c>
      <c r="K48" s="9">
        <f t="shared" si="9"/>
        <v>-6075144.9645985607</v>
      </c>
      <c r="L48" s="290">
        <f t="shared" si="10"/>
        <v>8450810.0327684563</v>
      </c>
      <c r="M48" s="8">
        <f t="shared" si="3"/>
        <v>-29857.26555000243</v>
      </c>
      <c r="N48" s="208">
        <f t="shared" si="4"/>
        <v>-30877.471045618997</v>
      </c>
      <c r="O48" s="8"/>
      <c r="P48" s="191">
        <f t="shared" si="11"/>
        <v>99577.917390249742</v>
      </c>
      <c r="Q48" s="10">
        <f t="shared" si="12"/>
        <v>499530.30449470982</v>
      </c>
      <c r="R48" s="10">
        <f t="shared" si="13"/>
        <v>99577.917391720694</v>
      </c>
      <c r="S48" s="10">
        <f t="shared" si="5"/>
        <v>499530.30449318863</v>
      </c>
      <c r="T48" s="277">
        <f t="shared" si="14"/>
        <v>-1.4709512470290065E-6</v>
      </c>
      <c r="U48" s="306">
        <f t="shared" si="15"/>
        <v>1.5211990103125572E-6</v>
      </c>
      <c r="W48" s="321">
        <v>5950148</v>
      </c>
      <c r="X48" s="316">
        <v>6000994</v>
      </c>
      <c r="Y48" s="317">
        <v>99577.918999999994</v>
      </c>
      <c r="Z48" s="317">
        <v>499530.30200000003</v>
      </c>
      <c r="AA48" s="317">
        <v>31.129334310000001</v>
      </c>
      <c r="AB48" s="317">
        <v>29.975369270000002</v>
      </c>
      <c r="AC48" s="105">
        <f t="shared" si="16"/>
        <v>1.60827930085361E-3</v>
      </c>
      <c r="AD48" s="276">
        <f t="shared" si="17"/>
        <v>-2.4931886000558734E-3</v>
      </c>
    </row>
    <row r="49" spans="1:30" ht="15.7" x14ac:dyDescent="0.5">
      <c r="A49" s="288" t="s">
        <v>133</v>
      </c>
      <c r="B49" s="196" t="s">
        <v>134</v>
      </c>
      <c r="C49" s="291" t="s">
        <v>136</v>
      </c>
      <c r="D49" s="291" t="s">
        <v>135</v>
      </c>
      <c r="E49" s="9">
        <f t="shared" si="0"/>
        <v>7563291</v>
      </c>
      <c r="F49" s="9">
        <f t="shared" si="1"/>
        <v>8109839</v>
      </c>
      <c r="G49" s="9">
        <f t="shared" si="6"/>
        <v>11089312.844202837</v>
      </c>
      <c r="H49" s="8">
        <f t="shared" si="7"/>
        <v>46.997189434790364</v>
      </c>
      <c r="I49" s="8">
        <f t="shared" si="2"/>
        <v>-135.79107832367924</v>
      </c>
      <c r="J49" s="9">
        <f t="shared" si="8"/>
        <v>-7948842.0861148592</v>
      </c>
      <c r="K49" s="9">
        <f t="shared" si="9"/>
        <v>-7732319.7584302714</v>
      </c>
      <c r="L49" s="290">
        <f t="shared" si="10"/>
        <v>11089312.844202837</v>
      </c>
      <c r="M49" s="8">
        <f t="shared" si="3"/>
        <v>-40400.705298466521</v>
      </c>
      <c r="N49" s="208">
        <f t="shared" si="4"/>
        <v>-39300.21108100011</v>
      </c>
      <c r="O49" s="8"/>
      <c r="P49" s="191">
        <f t="shared" si="11"/>
        <v>99363.939464218798</v>
      </c>
      <c r="Q49" s="10">
        <f t="shared" si="12"/>
        <v>499262.45064179122</v>
      </c>
      <c r="R49" s="10">
        <f t="shared" si="13"/>
        <v>99363.939466209195</v>
      </c>
      <c r="S49" s="10">
        <f t="shared" si="5"/>
        <v>499262.45063985506</v>
      </c>
      <c r="T49" s="277">
        <f t="shared" si="14"/>
        <v>-1.9903964130207896E-6</v>
      </c>
      <c r="U49" s="306">
        <f t="shared" si="15"/>
        <v>1.9361614249646664E-6</v>
      </c>
      <c r="W49" s="321">
        <v>7563291</v>
      </c>
      <c r="X49" s="316">
        <v>8109839</v>
      </c>
      <c r="Y49" s="317">
        <v>99363.941999999995</v>
      </c>
      <c r="Z49" s="317">
        <v>499262.44699999999</v>
      </c>
      <c r="AA49" s="317">
        <v>31.126559149999999</v>
      </c>
      <c r="AB49" s="317">
        <v>29.973438739999999</v>
      </c>
      <c r="AC49" s="105">
        <f t="shared" si="16"/>
        <v>2.5337908009532839E-3</v>
      </c>
      <c r="AD49" s="276">
        <f t="shared" si="17"/>
        <v>-3.6398550728335977E-3</v>
      </c>
    </row>
    <row r="50" spans="1:30" ht="15.7" x14ac:dyDescent="0.5">
      <c r="A50" s="288" t="s">
        <v>137</v>
      </c>
      <c r="B50" s="196" t="s">
        <v>138</v>
      </c>
      <c r="C50" s="291" t="s">
        <v>140</v>
      </c>
      <c r="D50" s="291" t="s">
        <v>139</v>
      </c>
      <c r="E50" s="9">
        <f t="shared" si="0"/>
        <v>9054182</v>
      </c>
      <c r="F50" s="9">
        <f t="shared" si="1"/>
        <v>7586701</v>
      </c>
      <c r="G50" s="9">
        <f t="shared" si="6"/>
        <v>11812546.03176322</v>
      </c>
      <c r="H50" s="8">
        <f t="shared" si="7"/>
        <v>39.960392153389016</v>
      </c>
      <c r="I50" s="8">
        <f t="shared" si="2"/>
        <v>-128.75428104227791</v>
      </c>
      <c r="J50" s="9">
        <f t="shared" si="8"/>
        <v>-7394438.1432031542</v>
      </c>
      <c r="K50" s="9">
        <f t="shared" si="9"/>
        <v>-9211868.8819841165</v>
      </c>
      <c r="L50" s="290">
        <f t="shared" si="10"/>
        <v>11812546.03176322</v>
      </c>
      <c r="M50" s="8">
        <f t="shared" si="3"/>
        <v>-37582.89736226292</v>
      </c>
      <c r="N50" s="208">
        <f t="shared" si="4"/>
        <v>-46820.15266088365</v>
      </c>
      <c r="O50" s="8"/>
      <c r="P50" s="191">
        <f t="shared" si="11"/>
        <v>99172.896941669358</v>
      </c>
      <c r="Q50" s="10">
        <f t="shared" si="12"/>
        <v>499334.03645538748</v>
      </c>
      <c r="R50" s="10">
        <f t="shared" si="13"/>
        <v>99172.896943520929</v>
      </c>
      <c r="S50" s="10">
        <f t="shared" si="5"/>
        <v>499334.03645308083</v>
      </c>
      <c r="T50" s="277">
        <f t="shared" si="14"/>
        <v>-1.8515711417421699E-6</v>
      </c>
      <c r="U50" s="306">
        <f t="shared" si="15"/>
        <v>2.3066531866788864E-6</v>
      </c>
      <c r="W50" s="321">
        <v>9054182</v>
      </c>
      <c r="X50" s="316">
        <v>7586701</v>
      </c>
      <c r="Y50" s="317">
        <v>99172.899000000005</v>
      </c>
      <c r="Z50" s="317">
        <v>499334.033</v>
      </c>
      <c r="AA50" s="317">
        <v>31.127301079999999</v>
      </c>
      <c r="AB50" s="317">
        <v>29.971715400000001</v>
      </c>
      <c r="AC50" s="105">
        <f t="shared" si="16"/>
        <v>2.0564790756907314E-3</v>
      </c>
      <c r="AD50" s="276">
        <f t="shared" si="17"/>
        <v>-3.4530808334238827E-3</v>
      </c>
    </row>
    <row r="51" spans="1:30" ht="15.7" x14ac:dyDescent="0.5">
      <c r="A51" s="288" t="s">
        <v>141</v>
      </c>
      <c r="B51" s="196" t="s">
        <v>142</v>
      </c>
      <c r="C51" s="291" t="s">
        <v>144</v>
      </c>
      <c r="D51" s="291" t="s">
        <v>143</v>
      </c>
      <c r="E51" s="9">
        <f t="shared" si="0"/>
        <v>8035816</v>
      </c>
      <c r="F51" s="9">
        <f t="shared" si="1"/>
        <v>7200134</v>
      </c>
      <c r="G51" s="9">
        <f t="shared" si="6"/>
        <v>10789637.083971454</v>
      </c>
      <c r="H51" s="8">
        <f t="shared" si="7"/>
        <v>41.860509376803662</v>
      </c>
      <c r="I51" s="8">
        <f t="shared" si="2"/>
        <v>-130.65439826569255</v>
      </c>
      <c r="J51" s="9">
        <f t="shared" si="8"/>
        <v>-7029392.4317394476</v>
      </c>
      <c r="K51" s="9">
        <f t="shared" si="9"/>
        <v>-8185591.6367979273</v>
      </c>
      <c r="L51" s="290">
        <f t="shared" si="10"/>
        <v>10789637.083971454</v>
      </c>
      <c r="M51" s="8">
        <f t="shared" si="3"/>
        <v>-35727.519679634599</v>
      </c>
      <c r="N51" s="208">
        <f t="shared" si="4"/>
        <v>-41604.006197272778</v>
      </c>
      <c r="O51" s="8"/>
      <c r="P51" s="191">
        <f t="shared" si="11"/>
        <v>99305.412037406437</v>
      </c>
      <c r="Q51" s="10">
        <f t="shared" si="12"/>
        <v>499381.17193230655</v>
      </c>
      <c r="R51" s="10">
        <f t="shared" si="13"/>
        <v>99305.412039166607</v>
      </c>
      <c r="S51" s="10">
        <f t="shared" si="5"/>
        <v>499381.17193025688</v>
      </c>
      <c r="T51" s="277">
        <f t="shared" si="14"/>
        <v>-1.7601705621927977E-6</v>
      </c>
      <c r="U51" s="306">
        <f t="shared" si="15"/>
        <v>2.0496663637459278E-6</v>
      </c>
      <c r="W51" s="321">
        <v>8035816</v>
      </c>
      <c r="X51" s="316">
        <v>7200134</v>
      </c>
      <c r="Y51" s="317">
        <v>99305.414000000004</v>
      </c>
      <c r="Z51" s="317">
        <v>499381.16899999999</v>
      </c>
      <c r="AA51" s="317">
        <v>31.127789329999999</v>
      </c>
      <c r="AB51" s="317">
        <v>29.97291087</v>
      </c>
      <c r="AC51" s="105">
        <f t="shared" si="16"/>
        <v>1.9608333968790248E-3</v>
      </c>
      <c r="AD51" s="276">
        <f t="shared" si="17"/>
        <v>-2.9302568873390555E-3</v>
      </c>
    </row>
    <row r="52" spans="1:30" ht="15.7" x14ac:dyDescent="0.5">
      <c r="A52" s="288" t="s">
        <v>145</v>
      </c>
      <c r="B52" s="196" t="s">
        <v>146</v>
      </c>
      <c r="C52" s="291" t="s">
        <v>148</v>
      </c>
      <c r="D52" s="291" t="s">
        <v>147</v>
      </c>
      <c r="E52" s="9">
        <f t="shared" si="0"/>
        <v>8761575</v>
      </c>
      <c r="F52" s="9">
        <f t="shared" si="1"/>
        <v>7230130</v>
      </c>
      <c r="G52" s="9">
        <f t="shared" si="6"/>
        <v>11359576.413648751</v>
      </c>
      <c r="H52" s="8">
        <f t="shared" si="7"/>
        <v>39.52975364025891</v>
      </c>
      <c r="I52" s="8">
        <f t="shared" si="2"/>
        <v>-128.3236425291478</v>
      </c>
      <c r="J52" s="9">
        <f t="shared" si="8"/>
        <v>-7044105.244563546</v>
      </c>
      <c r="K52" s="9">
        <f t="shared" si="9"/>
        <v>-8911821.2280676588</v>
      </c>
      <c r="L52" s="290">
        <f t="shared" si="10"/>
        <v>11359576.413648751</v>
      </c>
      <c r="M52" s="8">
        <f t="shared" si="3"/>
        <v>-35802.298874966233</v>
      </c>
      <c r="N52" s="208">
        <f t="shared" si="4"/>
        <v>-45295.133455564399</v>
      </c>
      <c r="O52" s="8"/>
      <c r="P52" s="191">
        <f t="shared" si="11"/>
        <v>99211.639731467076</v>
      </c>
      <c r="Q52" s="10">
        <f t="shared" si="12"/>
        <v>499379.27218269295</v>
      </c>
      <c r="R52" s="10">
        <f t="shared" si="13"/>
        <v>99211.639733230913</v>
      </c>
      <c r="S52" s="10">
        <f t="shared" si="5"/>
        <v>499379.27218046144</v>
      </c>
      <c r="T52" s="277">
        <f t="shared" si="14"/>
        <v>-1.7638376448303461E-6</v>
      </c>
      <c r="U52" s="306">
        <f t="shared" si="15"/>
        <v>2.2315070964396E-6</v>
      </c>
      <c r="W52" s="321">
        <v>8761575</v>
      </c>
      <c r="X52" s="316">
        <v>7230130</v>
      </c>
      <c r="Y52" s="317">
        <v>99211.642000000007</v>
      </c>
      <c r="Z52" s="317">
        <v>499379.26899999997</v>
      </c>
      <c r="AA52" s="317">
        <v>31.127769740000002</v>
      </c>
      <c r="AB52" s="317">
        <v>29.97206495</v>
      </c>
      <c r="AC52" s="105">
        <f t="shared" si="16"/>
        <v>2.2667690936941653E-3</v>
      </c>
      <c r="AD52" s="276">
        <f t="shared" si="17"/>
        <v>-3.1804614700376987E-3</v>
      </c>
    </row>
    <row r="53" spans="1:30" ht="15.7" x14ac:dyDescent="0.5">
      <c r="A53" s="288" t="s">
        <v>149</v>
      </c>
      <c r="B53" s="196" t="s">
        <v>150</v>
      </c>
      <c r="C53" s="291" t="s">
        <v>152</v>
      </c>
      <c r="D53" s="291" t="s">
        <v>151</v>
      </c>
      <c r="E53" s="9">
        <f t="shared" si="0"/>
        <v>8786405</v>
      </c>
      <c r="F53" s="9">
        <f t="shared" si="1"/>
        <v>6488386</v>
      </c>
      <c r="G53" s="9">
        <f t="shared" si="6"/>
        <v>10922456.94470896</v>
      </c>
      <c r="H53" s="8">
        <f t="shared" si="7"/>
        <v>36.44428919443061</v>
      </c>
      <c r="I53" s="8">
        <f t="shared" si="2"/>
        <v>-125.2381780833195</v>
      </c>
      <c r="J53" s="9">
        <f t="shared" si="8"/>
        <v>-6302002.9342851322</v>
      </c>
      <c r="K53" s="9">
        <f t="shared" si="9"/>
        <v>-8921032.7162993047</v>
      </c>
      <c r="L53" s="290">
        <f t="shared" si="10"/>
        <v>10922456.944708958</v>
      </c>
      <c r="M53" s="8">
        <f t="shared" si="3"/>
        <v>-32030.497093768266</v>
      </c>
      <c r="N53" s="208">
        <f t="shared" si="4"/>
        <v>-45341.951673535681</v>
      </c>
      <c r="O53" s="8"/>
      <c r="P53" s="191">
        <f t="shared" si="11"/>
        <v>99210.450324559119</v>
      </c>
      <c r="Q53" s="10">
        <f t="shared" si="12"/>
        <v>499475.09400779387</v>
      </c>
      <c r="R53" s="10">
        <f t="shared" si="13"/>
        <v>99210.450326137143</v>
      </c>
      <c r="S53" s="10">
        <f t="shared" si="5"/>
        <v>499475.09400556004</v>
      </c>
      <c r="T53" s="277">
        <f t="shared" si="14"/>
        <v>-1.5780242392793298E-6</v>
      </c>
      <c r="U53" s="306">
        <f t="shared" si="15"/>
        <v>2.2338354028761387E-6</v>
      </c>
      <c r="W53" s="321">
        <v>8786405</v>
      </c>
      <c r="X53" s="316">
        <v>6488386</v>
      </c>
      <c r="Y53" s="317">
        <v>99210.452000000005</v>
      </c>
      <c r="Z53" s="317">
        <v>499475.09</v>
      </c>
      <c r="AA53" s="317">
        <v>31.128762569999999</v>
      </c>
      <c r="AB53" s="317">
        <v>29.9720543</v>
      </c>
      <c r="AC53" s="105">
        <f t="shared" si="16"/>
        <v>1.6738628619350493E-3</v>
      </c>
      <c r="AD53" s="276">
        <f t="shared" si="17"/>
        <v>-4.0055600111372769E-3</v>
      </c>
    </row>
    <row r="54" spans="1:30" ht="15.7" x14ac:dyDescent="0.5">
      <c r="A54" s="288" t="s">
        <v>153</v>
      </c>
      <c r="B54" s="196" t="s">
        <v>154</v>
      </c>
      <c r="C54" s="291" t="s">
        <v>156</v>
      </c>
      <c r="D54" s="291" t="s">
        <v>155</v>
      </c>
      <c r="E54" s="9">
        <f t="shared" si="0"/>
        <v>8038069</v>
      </c>
      <c r="F54" s="9">
        <f t="shared" si="1"/>
        <v>6485183</v>
      </c>
      <c r="G54" s="9">
        <f t="shared" si="6"/>
        <v>10328027.487969326</v>
      </c>
      <c r="H54" s="8">
        <f t="shared" si="7"/>
        <v>38.896886962659615</v>
      </c>
      <c r="I54" s="8">
        <f t="shared" si="2"/>
        <v>-127.69077585154849</v>
      </c>
      <c r="J54" s="9">
        <f t="shared" si="8"/>
        <v>-6314552.4098369014</v>
      </c>
      <c r="K54" s="9">
        <f t="shared" si="9"/>
        <v>-8172795.0944381915</v>
      </c>
      <c r="L54" s="290">
        <f t="shared" si="10"/>
        <v>10328027.487969326</v>
      </c>
      <c r="M54" s="8">
        <f t="shared" si="3"/>
        <v>-32094.280932712936</v>
      </c>
      <c r="N54" s="208">
        <f t="shared" si="4"/>
        <v>-41538.966619040606</v>
      </c>
      <c r="O54" s="8"/>
      <c r="P54" s="191">
        <f t="shared" si="11"/>
        <v>99307.064354111164</v>
      </c>
      <c r="Q54" s="10">
        <f t="shared" si="12"/>
        <v>499473.47359287966</v>
      </c>
      <c r="R54" s="10">
        <f t="shared" si="13"/>
        <v>99307.064355692331</v>
      </c>
      <c r="S54" s="10">
        <f t="shared" si="5"/>
        <v>499473.47359083319</v>
      </c>
      <c r="T54" s="277">
        <f t="shared" si="14"/>
        <v>-1.581167452968657E-6</v>
      </c>
      <c r="U54" s="306">
        <f t="shared" si="15"/>
        <v>2.0464649423956871E-6</v>
      </c>
      <c r="W54" s="321">
        <v>8038069</v>
      </c>
      <c r="X54" s="316">
        <v>6485183</v>
      </c>
      <c r="Y54" s="317">
        <v>99307.066000000006</v>
      </c>
      <c r="Z54" s="317">
        <v>499473.47</v>
      </c>
      <c r="AA54" s="317">
        <v>31.128745689999999</v>
      </c>
      <c r="AB54" s="317">
        <v>29.972925849999999</v>
      </c>
      <c r="AC54" s="105">
        <f t="shared" si="16"/>
        <v>1.6443076747236773E-3</v>
      </c>
      <c r="AD54" s="276">
        <f t="shared" si="17"/>
        <v>-3.5908332210965455E-3</v>
      </c>
    </row>
    <row r="55" spans="1:30" ht="15.7" x14ac:dyDescent="0.5">
      <c r="A55" s="288" t="s">
        <v>157</v>
      </c>
      <c r="B55" s="196" t="s">
        <v>158</v>
      </c>
      <c r="C55" s="291" t="s">
        <v>160</v>
      </c>
      <c r="D55" s="291" t="s">
        <v>159</v>
      </c>
      <c r="E55" s="9">
        <f t="shared" si="0"/>
        <v>1935512</v>
      </c>
      <c r="F55" s="9">
        <f t="shared" si="1"/>
        <v>2249041</v>
      </c>
      <c r="G55" s="9">
        <f t="shared" si="6"/>
        <v>2967219.5944730816</v>
      </c>
      <c r="H55" s="8">
        <f t="shared" si="7"/>
        <v>49.284898763528446</v>
      </c>
      <c r="I55" s="8">
        <f t="shared" si="2"/>
        <v>-138.07878765241733</v>
      </c>
      <c r="J55" s="9">
        <f t="shared" si="8"/>
        <v>-2207802.0123950695</v>
      </c>
      <c r="K55" s="9">
        <f t="shared" si="9"/>
        <v>-1982423.3644429438</v>
      </c>
      <c r="L55" s="290">
        <f t="shared" si="10"/>
        <v>2967219.5944730816</v>
      </c>
      <c r="M55" s="8">
        <f t="shared" si="3"/>
        <v>-11221.352430179055</v>
      </c>
      <c r="N55" s="208">
        <f t="shared" si="4"/>
        <v>-10075.845167884061</v>
      </c>
      <c r="O55" s="8"/>
      <c r="P55" s="191">
        <f t="shared" si="11"/>
        <v>100106.37828832945</v>
      </c>
      <c r="Q55" s="10">
        <f t="shared" si="12"/>
        <v>500003.74591903517</v>
      </c>
      <c r="R55" s="10">
        <f t="shared" si="13"/>
        <v>100106.37828888228</v>
      </c>
      <c r="S55" s="10">
        <f t="shared" si="5"/>
        <v>500003.74591853877</v>
      </c>
      <c r="T55" s="277">
        <f>(P55-R55)</f>
        <v>-5.528272595256567E-7</v>
      </c>
      <c r="U55" s="306">
        <f>(Q55-S55)</f>
        <v>4.9639493227005005E-7</v>
      </c>
      <c r="W55" s="321">
        <v>1935512</v>
      </c>
      <c r="X55" s="316">
        <v>2249041</v>
      </c>
      <c r="Y55" s="317">
        <v>100106.379</v>
      </c>
      <c r="Z55" s="317">
        <v>500003.745</v>
      </c>
      <c r="AA55" s="317">
        <v>31.134239699999998</v>
      </c>
      <c r="AB55" s="317">
        <v>29.9801368</v>
      </c>
      <c r="AC55" s="105">
        <f t="shared" si="16"/>
        <v>7.1111772558651865E-4</v>
      </c>
      <c r="AD55" s="276">
        <f t="shared" si="17"/>
        <v>-9.1853877529501915E-4</v>
      </c>
    </row>
    <row r="56" spans="1:30" ht="15.7" x14ac:dyDescent="0.5">
      <c r="A56" s="288" t="s">
        <v>161</v>
      </c>
      <c r="B56" s="196" t="s">
        <v>162</v>
      </c>
      <c r="C56" s="291" t="s">
        <v>164</v>
      </c>
      <c r="D56" s="291" t="s">
        <v>163</v>
      </c>
      <c r="E56" s="9">
        <f t="shared" si="0"/>
        <v>2082608</v>
      </c>
      <c r="F56" s="9">
        <f t="shared" si="1"/>
        <v>1180207</v>
      </c>
      <c r="G56" s="9">
        <f t="shared" si="6"/>
        <v>2393772.0535825877</v>
      </c>
      <c r="H56" s="8">
        <f t="shared" si="7"/>
        <v>29.540083083433064</v>
      </c>
      <c r="I56" s="8">
        <f t="shared" si="2"/>
        <v>-118.33397197232195</v>
      </c>
      <c r="J56" s="9">
        <f t="shared" si="8"/>
        <v>-1136108.5870338627</v>
      </c>
      <c r="K56" s="9">
        <f t="shared" si="9"/>
        <v>-2106988.8283949015</v>
      </c>
      <c r="L56" s="290">
        <f t="shared" si="10"/>
        <v>2393772.0535825877</v>
      </c>
      <c r="M56" s="8">
        <f t="shared" si="3"/>
        <v>-5774.3741433724399</v>
      </c>
      <c r="N56" s="208">
        <f t="shared" si="4"/>
        <v>-10708.960349311641</v>
      </c>
      <c r="O56" s="8"/>
      <c r="P56" s="191">
        <f t="shared" si="11"/>
        <v>100090.29413128654</v>
      </c>
      <c r="Q56" s="10">
        <f t="shared" si="12"/>
        <v>500142.12524833303</v>
      </c>
      <c r="R56" s="10">
        <f t="shared" si="13"/>
        <v>100090.29413157103</v>
      </c>
      <c r="S56" s="10">
        <f t="shared" si="5"/>
        <v>500142.12524780544</v>
      </c>
      <c r="T56" s="277">
        <f t="shared" si="14"/>
        <v>-2.8448994271457195E-7</v>
      </c>
      <c r="U56" s="306">
        <f t="shared" si="15"/>
        <v>5.2759423851966858E-7</v>
      </c>
      <c r="W56" s="321">
        <v>2082608</v>
      </c>
      <c r="X56" s="316">
        <v>1180207</v>
      </c>
      <c r="Y56" s="317">
        <v>100090.29399999999</v>
      </c>
      <c r="Z56" s="317">
        <v>500142.12400000001</v>
      </c>
      <c r="AA56" s="317">
        <v>31.135673600000001</v>
      </c>
      <c r="AB56" s="317">
        <v>29.97999175</v>
      </c>
      <c r="AC56" s="105">
        <f t="shared" si="16"/>
        <v>-1.3157103967387229E-4</v>
      </c>
      <c r="AD56" s="276">
        <f t="shared" si="17"/>
        <v>-1.2478054268285632E-3</v>
      </c>
    </row>
    <row r="57" spans="1:30" ht="16" customHeight="1" x14ac:dyDescent="0.5">
      <c r="A57" s="293" t="s">
        <v>165</v>
      </c>
      <c r="B57" s="294" t="s">
        <v>166</v>
      </c>
      <c r="C57" s="295" t="s">
        <v>168</v>
      </c>
      <c r="D57" s="295" t="s">
        <v>167</v>
      </c>
      <c r="E57" s="9">
        <v>2514650</v>
      </c>
      <c r="F57" s="9">
        <v>1175360</v>
      </c>
      <c r="G57" s="9">
        <f t="shared" si="6"/>
        <v>2775776.6034211037</v>
      </c>
      <c r="H57" s="8">
        <f t="shared" si="7"/>
        <v>25.051622141283374</v>
      </c>
      <c r="I57" s="8">
        <f t="shared" si="2"/>
        <v>-113.84551103017226</v>
      </c>
      <c r="J57" s="9">
        <f t="shared" si="8"/>
        <v>-1122168.5849300958</v>
      </c>
      <c r="K57" s="9">
        <f t="shared" si="9"/>
        <v>-2538833.0821651085</v>
      </c>
      <c r="L57" s="290">
        <f t="shared" si="10"/>
        <v>2775776.6034211037</v>
      </c>
      <c r="M57" s="8">
        <f t="shared" si="3"/>
        <v>-5703.5228280798556</v>
      </c>
      <c r="N57" s="208">
        <f t="shared" si="4"/>
        <v>-12903.847635081558</v>
      </c>
      <c r="O57" s="8"/>
      <c r="P57" s="191">
        <f t="shared" si="11"/>
        <v>100034.53348483327</v>
      </c>
      <c r="Q57" s="10">
        <f t="shared" si="12"/>
        <v>500143.9252109864</v>
      </c>
      <c r="R57" s="10">
        <f t="shared" si="13"/>
        <v>100034.53348511425</v>
      </c>
      <c r="S57" s="10">
        <f t="shared" si="5"/>
        <v>500143.92521035072</v>
      </c>
      <c r="T57" s="277">
        <f t="shared" si="14"/>
        <v>-2.8098293114453554E-7</v>
      </c>
      <c r="U57" s="306">
        <f t="shared" si="15"/>
        <v>6.3568586483597755E-7</v>
      </c>
      <c r="W57" s="321">
        <v>2514650</v>
      </c>
      <c r="X57" s="316">
        <v>1175360</v>
      </c>
      <c r="Y57" s="317">
        <v>100034.533</v>
      </c>
      <c r="Z57" s="317">
        <v>500143.924</v>
      </c>
      <c r="AA57" s="317">
        <v>31.13569227</v>
      </c>
      <c r="AB57" s="317">
        <v>29.97948873</v>
      </c>
      <c r="AC57" s="105">
        <f t="shared" si="16"/>
        <v>-4.8511425848118961E-4</v>
      </c>
      <c r="AD57" s="276">
        <f t="shared" si="17"/>
        <v>-1.2103507178835571E-3</v>
      </c>
    </row>
    <row r="58" spans="1:30" ht="15.7" x14ac:dyDescent="0.5">
      <c r="A58" s="296" t="s">
        <v>169</v>
      </c>
      <c r="B58" s="196" t="s">
        <v>170</v>
      </c>
      <c r="C58" s="291" t="s">
        <v>172</v>
      </c>
      <c r="D58" s="291" t="s">
        <v>171</v>
      </c>
      <c r="E58" s="9">
        <f t="shared" ref="E58:F63" si="18">_xlfn.NUMBERVALUE(C58)</f>
        <v>3051826</v>
      </c>
      <c r="F58" s="9">
        <f t="shared" si="18"/>
        <v>1184632</v>
      </c>
      <c r="G58" s="9">
        <f t="shared" si="6"/>
        <v>3273682.1638179845</v>
      </c>
      <c r="H58" s="8">
        <f t="shared" si="7"/>
        <v>21.214795158889373</v>
      </c>
      <c r="I58" s="8">
        <f t="shared" si="2"/>
        <v>-110.00868404777826</v>
      </c>
      <c r="J58" s="9">
        <f t="shared" si="8"/>
        <v>-1120131.4832899324</v>
      </c>
      <c r="K58" s="9">
        <f t="shared" si="9"/>
        <v>-3076085.234489236</v>
      </c>
      <c r="L58" s="290">
        <f t="shared" si="10"/>
        <v>3273682.1638179845</v>
      </c>
      <c r="M58" s="8">
        <f t="shared" si="3"/>
        <v>-5693.1690756545768</v>
      </c>
      <c r="N58" s="208">
        <f t="shared" si="4"/>
        <v>-15634.480051962646</v>
      </c>
      <c r="O58" s="8"/>
      <c r="P58" s="191">
        <f t="shared" si="11"/>
        <v>99965.162346835103</v>
      </c>
      <c r="Q58" s="10">
        <f t="shared" si="12"/>
        <v>500144.18824587308</v>
      </c>
      <c r="R58" s="10">
        <f t="shared" si="13"/>
        <v>99965.162347115591</v>
      </c>
      <c r="S58" s="10">
        <f t="shared" si="5"/>
        <v>500144.18824510282</v>
      </c>
      <c r="T58" s="277">
        <f t="shared" si="14"/>
        <v>-2.8048816602677107E-7</v>
      </c>
      <c r="U58" s="306">
        <f t="shared" si="15"/>
        <v>7.702619768679142E-7</v>
      </c>
      <c r="W58" s="321">
        <v>3051826</v>
      </c>
      <c r="X58" s="316">
        <v>1184632</v>
      </c>
      <c r="Y58" s="317">
        <v>99965.161999999997</v>
      </c>
      <c r="Z58" s="317">
        <v>500144.18699999998</v>
      </c>
      <c r="AA58" s="317">
        <v>31.13569502</v>
      </c>
      <c r="AB58" s="317">
        <v>29.978862929999998</v>
      </c>
      <c r="AC58" s="105">
        <f t="shared" si="16"/>
        <v>-3.4711559419520199E-4</v>
      </c>
      <c r="AD58" s="276">
        <f t="shared" si="17"/>
        <v>-1.2451028451323509E-3</v>
      </c>
    </row>
    <row r="59" spans="1:30" ht="15.7" x14ac:dyDescent="0.5">
      <c r="A59" s="288" t="s">
        <v>173</v>
      </c>
      <c r="B59" s="196" t="s">
        <v>174</v>
      </c>
      <c r="C59" s="291" t="s">
        <v>176</v>
      </c>
      <c r="D59" s="291" t="s">
        <v>175</v>
      </c>
      <c r="E59" s="9">
        <f t="shared" si="18"/>
        <v>3463988</v>
      </c>
      <c r="F59" s="9">
        <f t="shared" si="18"/>
        <v>1180826</v>
      </c>
      <c r="G59" s="9">
        <f t="shared" si="6"/>
        <v>3659721.6979464437</v>
      </c>
      <c r="H59" s="8">
        <f t="shared" si="7"/>
        <v>18.823539368546253</v>
      </c>
      <c r="I59" s="8">
        <f t="shared" si="2"/>
        <v>-107.61742825743514</v>
      </c>
      <c r="J59" s="9">
        <f t="shared" si="8"/>
        <v>-1107650.7057674529</v>
      </c>
      <c r="K59" s="9">
        <f t="shared" si="9"/>
        <v>-3488075.8048575814</v>
      </c>
      <c r="L59" s="290">
        <f t="shared" si="10"/>
        <v>3659721.6979464437</v>
      </c>
      <c r="M59" s="8">
        <f t="shared" si="3"/>
        <v>-5629.7344006265985</v>
      </c>
      <c r="N59" s="208">
        <f t="shared" si="4"/>
        <v>-17728.459205011095</v>
      </c>
      <c r="O59" s="8"/>
      <c r="P59" s="191">
        <f t="shared" si="11"/>
        <v>99911.965250113702</v>
      </c>
      <c r="Q59" s="10">
        <f t="shared" si="12"/>
        <v>500145.79979035194</v>
      </c>
      <c r="R59" s="10">
        <f t="shared" si="13"/>
        <v>99911.965250391062</v>
      </c>
      <c r="S59" s="10">
        <f t="shared" si="5"/>
        <v>500145.79978947854</v>
      </c>
      <c r="T59" s="277">
        <f t="shared" si="14"/>
        <v>-2.773595042526722E-7</v>
      </c>
      <c r="U59" s="306">
        <f t="shared" si="15"/>
        <v>8.7340595200657845E-7</v>
      </c>
      <c r="W59" s="321">
        <v>3463988</v>
      </c>
      <c r="X59" s="316">
        <v>1180826</v>
      </c>
      <c r="Y59" s="317">
        <v>99911.964999999997</v>
      </c>
      <c r="Z59" s="317">
        <v>500145.79800000001</v>
      </c>
      <c r="AA59" s="317">
        <v>31.135711730000001</v>
      </c>
      <c r="AB59" s="317">
        <v>29.978383040000001</v>
      </c>
      <c r="AC59" s="105">
        <f t="shared" si="16"/>
        <v>-2.5039106549229473E-4</v>
      </c>
      <c r="AD59" s="276">
        <f t="shared" si="17"/>
        <v>-1.7894785269163549E-3</v>
      </c>
    </row>
    <row r="60" spans="1:30" ht="15.7" x14ac:dyDescent="0.5">
      <c r="A60" s="288" t="s">
        <v>177</v>
      </c>
      <c r="B60" s="196" t="s">
        <v>178</v>
      </c>
      <c r="C60" s="291" t="s">
        <v>180</v>
      </c>
      <c r="D60" s="291" t="s">
        <v>179</v>
      </c>
      <c r="E60" s="9">
        <f t="shared" si="18"/>
        <v>2678581</v>
      </c>
      <c r="F60" s="9">
        <f t="shared" si="18"/>
        <v>881168</v>
      </c>
      <c r="G60" s="9">
        <f t="shared" si="6"/>
        <v>2819796.662489159</v>
      </c>
      <c r="H60" s="8">
        <f t="shared" si="7"/>
        <v>18.209562061588063</v>
      </c>
      <c r="I60" s="8">
        <f t="shared" si="2"/>
        <v>-107.00345095047695</v>
      </c>
      <c r="J60" s="9">
        <f t="shared" si="8"/>
        <v>-824591.17220850312</v>
      </c>
      <c r="K60" s="9">
        <f t="shared" si="9"/>
        <v>-2696535.2985823876</v>
      </c>
      <c r="L60" s="290">
        <f t="shared" si="10"/>
        <v>2819796.662489159</v>
      </c>
      <c r="M60" s="8">
        <f t="shared" si="3"/>
        <v>-4191.0588459552155</v>
      </c>
      <c r="N60" s="208">
        <f t="shared" si="4"/>
        <v>-13705.383343221856</v>
      </c>
      <c r="O60" s="8"/>
      <c r="P60" s="191">
        <f t="shared" si="11"/>
        <v>100014.17063999333</v>
      </c>
      <c r="Q60" s="10">
        <f t="shared" si="12"/>
        <v>500182.349037999</v>
      </c>
      <c r="R60" s="10">
        <f t="shared" si="13"/>
        <v>100014.17064019981</v>
      </c>
      <c r="S60" s="10">
        <f t="shared" si="5"/>
        <v>500182.34903732379</v>
      </c>
      <c r="T60" s="277">
        <f t="shared" si="14"/>
        <v>-2.0647712517529726E-7</v>
      </c>
      <c r="U60" s="306">
        <f t="shared" si="15"/>
        <v>6.7520886659622192E-7</v>
      </c>
      <c r="W60" s="321">
        <v>2678581</v>
      </c>
      <c r="X60" s="316">
        <v>881168</v>
      </c>
      <c r="Y60" s="317">
        <v>100014.171</v>
      </c>
      <c r="Z60" s="317">
        <v>500182.348</v>
      </c>
      <c r="AA60" s="317">
        <v>31.136090419999999</v>
      </c>
      <c r="AB60" s="317">
        <v>29.979305050000001</v>
      </c>
      <c r="AC60" s="105">
        <f t="shared" si="16"/>
        <v>3.5980019310954958E-4</v>
      </c>
      <c r="AD60" s="276">
        <f t="shared" si="17"/>
        <v>-1.0373237892054021E-3</v>
      </c>
    </row>
    <row r="61" spans="1:30" ht="15.7" x14ac:dyDescent="0.5">
      <c r="A61" s="297" t="s">
        <v>181</v>
      </c>
      <c r="B61" s="196" t="s">
        <v>182</v>
      </c>
      <c r="C61" s="291" t="s">
        <v>184</v>
      </c>
      <c r="D61" s="291" t="s">
        <v>183</v>
      </c>
      <c r="E61" s="9">
        <f t="shared" si="18"/>
        <v>2648862</v>
      </c>
      <c r="F61" s="9">
        <f t="shared" si="18"/>
        <v>568721</v>
      </c>
      <c r="G61" s="9">
        <f t="shared" si="6"/>
        <v>2709227.4675421775</v>
      </c>
      <c r="H61" s="8">
        <f t="shared" si="7"/>
        <v>12.117663434577988</v>
      </c>
      <c r="I61" s="8">
        <f t="shared" si="2"/>
        <v>-100.91155232346688</v>
      </c>
      <c r="J61" s="9">
        <f t="shared" si="8"/>
        <v>-512838.95356472506</v>
      </c>
      <c r="K61" s="9">
        <f t="shared" si="9"/>
        <v>-2660246.1687955945</v>
      </c>
      <c r="L61" s="290">
        <f t="shared" si="10"/>
        <v>2709227.4675421775</v>
      </c>
      <c r="M61" s="8">
        <f t="shared" si="3"/>
        <v>-2606.5501369985359</v>
      </c>
      <c r="N61" s="208">
        <f t="shared" si="4"/>
        <v>-13520.940575058799</v>
      </c>
      <c r="O61" s="8"/>
      <c r="P61" s="191">
        <f t="shared" si="11"/>
        <v>100018.8563694397</v>
      </c>
      <c r="Q61" s="10">
        <f t="shared" si="12"/>
        <v>500222.60314603231</v>
      </c>
      <c r="R61" s="10">
        <f t="shared" si="13"/>
        <v>100018.85636956812</v>
      </c>
      <c r="S61" s="10">
        <f t="shared" si="5"/>
        <v>500222.60314536619</v>
      </c>
      <c r="T61" s="277">
        <f t="shared" si="14"/>
        <v>-1.2842065189033747E-7</v>
      </c>
      <c r="U61" s="306">
        <f t="shared" si="15"/>
        <v>6.6612847149372101E-7</v>
      </c>
      <c r="W61" s="321">
        <v>2648862</v>
      </c>
      <c r="X61" s="316">
        <v>568721</v>
      </c>
      <c r="Y61" s="317">
        <v>100018.856</v>
      </c>
      <c r="Z61" s="317">
        <v>500222.60200000001</v>
      </c>
      <c r="AA61" s="317">
        <v>31.13650754</v>
      </c>
      <c r="AB61" s="317">
        <v>29.979347319999999</v>
      </c>
      <c r="AC61" s="105">
        <f t="shared" si="16"/>
        <v>-3.6956812255084515E-4</v>
      </c>
      <c r="AD61" s="276">
        <f t="shared" si="17"/>
        <v>-1.1453661718405783E-3</v>
      </c>
    </row>
    <row r="62" spans="1:30" ht="15.7" x14ac:dyDescent="0.5">
      <c r="A62" s="288" t="s">
        <v>185</v>
      </c>
      <c r="B62" s="196" t="s">
        <v>186</v>
      </c>
      <c r="C62" s="291" t="s">
        <v>188</v>
      </c>
      <c r="D62" s="291" t="s">
        <v>187</v>
      </c>
      <c r="E62" s="9">
        <f t="shared" si="18"/>
        <v>2549708</v>
      </c>
      <c r="F62" s="9">
        <f t="shared" si="18"/>
        <v>721984</v>
      </c>
      <c r="G62" s="9">
        <f t="shared" si="6"/>
        <v>2649956.9395595845</v>
      </c>
      <c r="H62" s="8">
        <f t="shared" si="7"/>
        <v>15.810180905932976</v>
      </c>
      <c r="I62" s="8">
        <f t="shared" si="2"/>
        <v>-104.60406979482187</v>
      </c>
      <c r="J62" s="9">
        <f t="shared" si="8"/>
        <v>-668155.09527865809</v>
      </c>
      <c r="K62" s="9">
        <f t="shared" si="9"/>
        <v>-2564340.1783252484</v>
      </c>
      <c r="L62" s="290">
        <f t="shared" si="10"/>
        <v>2649956.9395595845</v>
      </c>
      <c r="M62" s="8">
        <f t="shared" si="3"/>
        <v>-3395.9584057123548</v>
      </c>
      <c r="N62" s="208">
        <f t="shared" si="4"/>
        <v>-13033.489746954123</v>
      </c>
      <c r="O62" s="8"/>
      <c r="P62" s="191">
        <f t="shared" si="11"/>
        <v>100031.23995444906</v>
      </c>
      <c r="Q62" s="10">
        <f t="shared" si="12"/>
        <v>500202.54839622148</v>
      </c>
      <c r="R62" s="10">
        <f t="shared" si="13"/>
        <v>100031.23995461638</v>
      </c>
      <c r="S62" s="10">
        <f t="shared" si="5"/>
        <v>500202.54839557939</v>
      </c>
      <c r="T62" s="277">
        <f t="shared" si="14"/>
        <v>-1.6731792129576206E-7</v>
      </c>
      <c r="U62" s="306">
        <f t="shared" si="15"/>
        <v>6.4208870753645897E-7</v>
      </c>
      <c r="W62" s="321">
        <v>2549708</v>
      </c>
      <c r="X62" s="316">
        <v>721984</v>
      </c>
      <c r="Y62" s="317">
        <v>100031.24</v>
      </c>
      <c r="Z62" s="317">
        <v>500202.54700000002</v>
      </c>
      <c r="AA62" s="317">
        <v>31.136299730000001</v>
      </c>
      <c r="AB62" s="317">
        <v>29.979459030000001</v>
      </c>
      <c r="AC62" s="105">
        <f t="shared" si="16"/>
        <v>4.5383625547401607E-5</v>
      </c>
      <c r="AD62" s="276">
        <f t="shared" si="17"/>
        <v>-1.3955793692730367E-3</v>
      </c>
    </row>
    <row r="63" spans="1:30" ht="15.7" x14ac:dyDescent="0.5">
      <c r="A63" s="288" t="s">
        <v>189</v>
      </c>
      <c r="B63" s="196" t="s">
        <v>190</v>
      </c>
      <c r="C63" s="291" t="s">
        <v>192</v>
      </c>
      <c r="D63" s="291" t="s">
        <v>191</v>
      </c>
      <c r="E63" s="9">
        <f t="shared" si="18"/>
        <v>2350481</v>
      </c>
      <c r="F63" s="9">
        <f t="shared" si="18"/>
        <v>718038</v>
      </c>
      <c r="G63" s="9">
        <f t="shared" si="6"/>
        <v>2457710.2149775508</v>
      </c>
      <c r="H63" s="8">
        <f t="shared" si="7"/>
        <v>16.987155127805657</v>
      </c>
      <c r="I63" s="8">
        <f t="shared" si="2"/>
        <v>-105.78104401669455</v>
      </c>
      <c r="J63" s="9">
        <f t="shared" si="8"/>
        <v>-668403.50969482597</v>
      </c>
      <c r="K63" s="9">
        <f t="shared" si="9"/>
        <v>-2365074.2586719422</v>
      </c>
      <c r="L63" s="290">
        <f t="shared" si="10"/>
        <v>2457710.2149775508</v>
      </c>
      <c r="M63" s="8">
        <f t="shared" si="3"/>
        <v>-3397.2209943398252</v>
      </c>
      <c r="N63" s="208">
        <f t="shared" si="4"/>
        <v>-12020.702776383427</v>
      </c>
      <c r="O63" s="8"/>
      <c r="P63" s="191">
        <f t="shared" si="11"/>
        <v>100056.9695928522</v>
      </c>
      <c r="Q63" s="10">
        <f t="shared" si="12"/>
        <v>500202.51632042491</v>
      </c>
      <c r="R63" s="10">
        <f t="shared" si="13"/>
        <v>100056.96959301956</v>
      </c>
      <c r="S63" s="10">
        <f t="shared" si="5"/>
        <v>500202.51631983271</v>
      </c>
      <c r="T63" s="277">
        <f t="shared" si="14"/>
        <v>-1.6736157704144716E-7</v>
      </c>
      <c r="U63" s="306">
        <f t="shared" si="15"/>
        <v>5.922047421336174E-7</v>
      </c>
      <c r="W63" s="321">
        <v>2350481</v>
      </c>
      <c r="X63" s="316">
        <v>718038</v>
      </c>
      <c r="Y63" s="317">
        <v>100056.969</v>
      </c>
      <c r="Z63" s="317">
        <v>500202.51500000001</v>
      </c>
      <c r="AA63" s="317">
        <v>31.136299390000001</v>
      </c>
      <c r="AB63" s="317">
        <v>29.97969114</v>
      </c>
      <c r="AC63" s="105">
        <f t="shared" si="16"/>
        <v>-5.9301956207491457E-4</v>
      </c>
      <c r="AD63" s="276">
        <f t="shared" si="17"/>
        <v>-1.3198326923884451E-3</v>
      </c>
    </row>
    <row r="64" spans="1:30" ht="15.35" customHeight="1" x14ac:dyDescent="0.5">
      <c r="A64" s="500" t="s">
        <v>193</v>
      </c>
      <c r="B64" s="501"/>
      <c r="C64" s="501"/>
      <c r="D64" s="501"/>
      <c r="I64" s="8"/>
      <c r="L64" s="114"/>
      <c r="M64" s="4"/>
      <c r="N64" s="73"/>
      <c r="O64" s="8"/>
      <c r="P64" s="191"/>
      <c r="Q64" s="10"/>
      <c r="U64" s="73"/>
      <c r="W64" s="26"/>
      <c r="AC64" s="105"/>
      <c r="AD64" s="276"/>
    </row>
    <row r="65" spans="1:30" ht="15.7" customHeight="1" x14ac:dyDescent="0.5">
      <c r="A65" s="288"/>
      <c r="B65" s="318" t="s">
        <v>750</v>
      </c>
      <c r="C65" s="291"/>
      <c r="D65" s="291"/>
      <c r="I65" s="8"/>
      <c r="L65" s="114"/>
      <c r="M65" s="4"/>
      <c r="N65" s="73"/>
      <c r="O65" s="8"/>
      <c r="P65" s="191"/>
      <c r="Q65" s="10"/>
      <c r="U65" s="73"/>
      <c r="W65" s="26"/>
      <c r="AC65" s="105"/>
      <c r="AD65" s="276"/>
    </row>
    <row r="66" spans="1:30" ht="15.7" x14ac:dyDescent="0.5">
      <c r="A66" s="288" t="s">
        <v>737</v>
      </c>
      <c r="B66" s="196" t="s">
        <v>369</v>
      </c>
      <c r="C66" s="291" t="s">
        <v>196</v>
      </c>
      <c r="D66" s="291" t="s">
        <v>195</v>
      </c>
      <c r="E66" s="9">
        <f t="shared" ref="E66:E82" si="19">_xlfn.NUMBERVALUE(C66)</f>
        <v>1866612</v>
      </c>
      <c r="F66" s="9">
        <f t="shared" ref="F66:F82" si="20">_xlfn.NUMBERVALUE(D66)</f>
        <v>2281355</v>
      </c>
      <c r="G66" s="9">
        <f t="shared" si="6"/>
        <v>2947680.6127138333</v>
      </c>
      <c r="H66" s="8">
        <f t="shared" si="7"/>
        <v>50.709858723734335</v>
      </c>
      <c r="I66" s="8">
        <f t="shared" ref="I66:I84" si="21">-90-H66+$D$13</f>
        <v>-139.50374761262321</v>
      </c>
      <c r="J66" s="9">
        <f t="shared" si="8"/>
        <v>-2241559.132953207</v>
      </c>
      <c r="K66" s="9">
        <f t="shared" si="9"/>
        <v>-1914218.8088207331</v>
      </c>
      <c r="L66" s="290">
        <f t="shared" si="10"/>
        <v>2947680.6127138333</v>
      </c>
      <c r="M66" s="8">
        <f t="shared" ref="M66:M84" si="22">J66*$D$14</f>
        <v>-11392.92603355664</v>
      </c>
      <c r="N66" s="208">
        <f t="shared" ref="N66:N84" si="23">K66*$D$14</f>
        <v>-9729.189375524169</v>
      </c>
      <c r="O66" s="8"/>
      <c r="P66" s="191">
        <f t="shared" si="11"/>
        <v>100115.18500528665</v>
      </c>
      <c r="Q66" s="10">
        <f t="shared" si="12"/>
        <v>499999.38712799351</v>
      </c>
      <c r="R66" s="10">
        <f t="shared" ref="R66:R84" si="24">$R$8-0.0254/196.713*(F66^2+E66^2)^0.5*COS((DEGREES(ATAN(F66/E66))-1.206111)/180*PI())</f>
        <v>100115.18500584795</v>
      </c>
      <c r="S66" s="10">
        <f t="shared" ref="S66:S84" si="25">$R$9-0.0254/196.713*(F66^2+E66^2)^0.5*SIN((DEGREES(ATAN(F66/E66))-1.206111)/180*PI())</f>
        <v>499999.38712751417</v>
      </c>
      <c r="T66" s="277">
        <f t="shared" si="14"/>
        <v>-5.6129647418856621E-7</v>
      </c>
      <c r="U66" s="306">
        <f t="shared" si="15"/>
        <v>4.793400876224041E-7</v>
      </c>
      <c r="W66" s="321">
        <v>1866612</v>
      </c>
      <c r="X66" s="316">
        <v>2281355</v>
      </c>
      <c r="Y66" s="317">
        <v>100115.185</v>
      </c>
      <c r="Z66" s="317">
        <v>499999.386</v>
      </c>
      <c r="AA66" s="317">
        <v>31.134194529999998</v>
      </c>
      <c r="AB66" s="317">
        <v>29.980216250000002</v>
      </c>
      <c r="AC66" s="105">
        <f t="shared" si="16"/>
        <v>-5.84794906899333E-6</v>
      </c>
      <c r="AD66" s="276">
        <f t="shared" si="17"/>
        <v>-1.1275141732767224E-3</v>
      </c>
    </row>
    <row r="67" spans="1:30" ht="15.7" x14ac:dyDescent="0.5">
      <c r="A67" s="288" t="s">
        <v>727</v>
      </c>
      <c r="B67" s="196" t="s">
        <v>371</v>
      </c>
      <c r="C67" s="291" t="s">
        <v>199</v>
      </c>
      <c r="D67" s="291" t="s">
        <v>198</v>
      </c>
      <c r="E67" s="9">
        <f t="shared" si="19"/>
        <v>2671090</v>
      </c>
      <c r="F67" s="9">
        <f t="shared" si="20"/>
        <v>1401430</v>
      </c>
      <c r="G67" s="9">
        <f t="shared" si="6"/>
        <v>3016409.7588026728</v>
      </c>
      <c r="H67" s="8">
        <f t="shared" si="7"/>
        <v>27.684467070524793</v>
      </c>
      <c r="I67" s="8">
        <f t="shared" si="21"/>
        <v>-116.47835595941368</v>
      </c>
      <c r="J67" s="9">
        <f t="shared" si="8"/>
        <v>-1344895.5835616526</v>
      </c>
      <c r="K67" s="9">
        <f t="shared" si="9"/>
        <v>-2699996.9819087503</v>
      </c>
      <c r="L67" s="290">
        <f t="shared" si="10"/>
        <v>3016409.7588026728</v>
      </c>
      <c r="M67" s="8">
        <f t="shared" si="22"/>
        <v>-6835.5528440546195</v>
      </c>
      <c r="N67" s="208">
        <f t="shared" si="23"/>
        <v>-13722.977660279594</v>
      </c>
      <c r="O67" s="8"/>
      <c r="P67" s="191">
        <f t="shared" si="11"/>
        <v>100013.72366009628</v>
      </c>
      <c r="Q67" s="10">
        <f t="shared" si="12"/>
        <v>500115.16622827941</v>
      </c>
      <c r="R67" s="10">
        <f t="shared" si="24"/>
        <v>100013.72366043304</v>
      </c>
      <c r="S67" s="10">
        <f t="shared" si="25"/>
        <v>500115.16622760333</v>
      </c>
      <c r="T67" s="277">
        <f t="shared" si="14"/>
        <v>-3.3676042221486568E-7</v>
      </c>
      <c r="U67" s="306">
        <f t="shared" si="15"/>
        <v>6.7608198150992393E-7</v>
      </c>
      <c r="W67" s="321">
        <v>2671090</v>
      </c>
      <c r="X67" s="316">
        <v>1401430</v>
      </c>
      <c r="Y67" s="317">
        <v>100013.724</v>
      </c>
      <c r="Z67" s="317">
        <v>500115.16499999998</v>
      </c>
      <c r="AA67" s="317">
        <v>31.135394269999999</v>
      </c>
      <c r="AB67" s="317">
        <v>29.979301</v>
      </c>
      <c r="AC67" s="105">
        <f t="shared" si="16"/>
        <v>3.3956696279346943E-4</v>
      </c>
      <c r="AD67" s="276">
        <f t="shared" si="17"/>
        <v>-1.227603352162987E-3</v>
      </c>
    </row>
    <row r="68" spans="1:30" ht="15.7" customHeight="1" x14ac:dyDescent="0.5">
      <c r="A68" s="288" t="s">
        <v>728</v>
      </c>
      <c r="B68" s="196" t="s">
        <v>366</v>
      </c>
      <c r="C68" s="291" t="s">
        <v>202</v>
      </c>
      <c r="D68" s="291" t="s">
        <v>201</v>
      </c>
      <c r="E68" s="9">
        <f t="shared" si="19"/>
        <v>3646300</v>
      </c>
      <c r="F68" s="9">
        <f t="shared" si="20"/>
        <v>2515643</v>
      </c>
      <c r="G68" s="9">
        <f t="shared" si="6"/>
        <v>4429894.286938346</v>
      </c>
      <c r="H68" s="8">
        <f t="shared" si="7"/>
        <v>34.602439280027284</v>
      </c>
      <c r="I68" s="8">
        <f t="shared" si="21"/>
        <v>-123.39632816891617</v>
      </c>
      <c r="J68" s="9">
        <f t="shared" si="8"/>
        <v>-2438334.4737879089</v>
      </c>
      <c r="K68" s="9">
        <f t="shared" si="9"/>
        <v>-3698444.0495141246</v>
      </c>
      <c r="L68" s="290">
        <f t="shared" si="10"/>
        <v>4429894.286938346</v>
      </c>
      <c r="M68" s="8">
        <f t="shared" si="22"/>
        <v>-12393.054413129687</v>
      </c>
      <c r="N68" s="208">
        <f t="shared" si="23"/>
        <v>-18797.674741619994</v>
      </c>
      <c r="O68" s="8"/>
      <c r="P68" s="191">
        <f t="shared" si="11"/>
        <v>99884.802055946187</v>
      </c>
      <c r="Q68" s="10">
        <f t="shared" si="12"/>
        <v>499973.97907841264</v>
      </c>
      <c r="R68" s="10">
        <f t="shared" si="24"/>
        <v>99884.802056556742</v>
      </c>
      <c r="S68" s="10">
        <f t="shared" si="25"/>
        <v>499973.97907748655</v>
      </c>
      <c r="T68" s="277">
        <f>(P68-R68)</f>
        <v>-6.10554707236588E-7</v>
      </c>
      <c r="U68" s="306">
        <f t="shared" si="15"/>
        <v>9.2608388513326645E-7</v>
      </c>
      <c r="W68" s="321">
        <v>3646300</v>
      </c>
      <c r="X68" s="316">
        <v>2515643</v>
      </c>
      <c r="Y68" s="317">
        <v>99884.803</v>
      </c>
      <c r="Z68" s="317">
        <v>499973.978</v>
      </c>
      <c r="AA68" s="317">
        <v>31.133931350000001</v>
      </c>
      <c r="AB68" s="317">
        <v>29.97813794</v>
      </c>
      <c r="AC68" s="105">
        <f t="shared" si="16"/>
        <v>9.4344325771089643E-4</v>
      </c>
      <c r="AD68" s="276">
        <f t="shared" si="17"/>
        <v>-1.0774865513667464E-3</v>
      </c>
    </row>
    <row r="69" spans="1:30" ht="15.7" x14ac:dyDescent="0.5">
      <c r="A69" s="288" t="s">
        <v>729</v>
      </c>
      <c r="B69" s="196" t="s">
        <v>372</v>
      </c>
      <c r="C69" s="291" t="s">
        <v>205</v>
      </c>
      <c r="D69" s="291" t="s">
        <v>204</v>
      </c>
      <c r="E69" s="9">
        <f t="shared" si="19"/>
        <v>2664836</v>
      </c>
      <c r="F69" s="9">
        <f t="shared" si="20"/>
        <v>3185923</v>
      </c>
      <c r="G69" s="9">
        <f t="shared" si="6"/>
        <v>4153487.2419239474</v>
      </c>
      <c r="H69" s="8">
        <f t="shared" si="7"/>
        <v>50.089513606221729</v>
      </c>
      <c r="I69" s="8">
        <f t="shared" si="21"/>
        <v>-138.8834024951106</v>
      </c>
      <c r="J69" s="9">
        <f t="shared" si="8"/>
        <v>-3129124.8593839649</v>
      </c>
      <c r="K69" s="9">
        <f t="shared" si="9"/>
        <v>-2731306.2595048328</v>
      </c>
      <c r="L69" s="290">
        <f t="shared" si="10"/>
        <v>4153487.2419239474</v>
      </c>
      <c r="M69" s="8">
        <f t="shared" si="22"/>
        <v>-15904.058719056346</v>
      </c>
      <c r="N69" s="208">
        <f t="shared" si="23"/>
        <v>-13882.109881496668</v>
      </c>
      <c r="O69" s="8"/>
      <c r="P69" s="191">
        <f t="shared" si="11"/>
        <v>100009.6809397324</v>
      </c>
      <c r="Q69" s="10">
        <f t="shared" si="12"/>
        <v>499884.78275791457</v>
      </c>
      <c r="R69" s="10">
        <f t="shared" si="24"/>
        <v>100009.68094051593</v>
      </c>
      <c r="S69" s="10">
        <f t="shared" si="25"/>
        <v>499884.78275723063</v>
      </c>
      <c r="T69" s="277">
        <f t="shared" si="14"/>
        <v>-7.8353332355618477E-7</v>
      </c>
      <c r="U69" s="306">
        <f t="shared" si="15"/>
        <v>6.8394001573324203E-7</v>
      </c>
      <c r="W69" s="321">
        <v>2664836</v>
      </c>
      <c r="X69" s="316">
        <v>3185923</v>
      </c>
      <c r="Y69" s="317">
        <v>100009.682</v>
      </c>
      <c r="Z69" s="317">
        <v>499884.78200000001</v>
      </c>
      <c r="AA69" s="317">
        <v>31.133007039999999</v>
      </c>
      <c r="AB69" s="317">
        <v>29.979264440000001</v>
      </c>
      <c r="AC69" s="105">
        <f t="shared" si="16"/>
        <v>1.059484071447514E-3</v>
      </c>
      <c r="AD69" s="276">
        <f t="shared" si="17"/>
        <v>-7.5723062036558986E-4</v>
      </c>
    </row>
    <row r="70" spans="1:30" ht="15.7" x14ac:dyDescent="0.5">
      <c r="A70" s="288" t="s">
        <v>730</v>
      </c>
      <c r="B70" s="196" t="s">
        <v>373</v>
      </c>
      <c r="C70" s="291" t="s">
        <v>208</v>
      </c>
      <c r="D70" s="291" t="s">
        <v>207</v>
      </c>
      <c r="E70" s="9">
        <f t="shared" si="19"/>
        <v>1884598</v>
      </c>
      <c r="F70" s="9">
        <f t="shared" si="20"/>
        <v>1385776</v>
      </c>
      <c r="G70" s="9">
        <f t="shared" si="6"/>
        <v>2339248.7562848036</v>
      </c>
      <c r="H70" s="8">
        <f t="shared" si="7"/>
        <v>36.327658220541991</v>
      </c>
      <c r="I70" s="8">
        <f t="shared" si="21"/>
        <v>-125.12154710943088</v>
      </c>
      <c r="J70" s="9">
        <f t="shared" si="8"/>
        <v>-1345799.9654632017</v>
      </c>
      <c r="K70" s="9">
        <f t="shared" si="9"/>
        <v>-1913349.7319463701</v>
      </c>
      <c r="L70" s="290">
        <f t="shared" si="10"/>
        <v>2339248.7562848036</v>
      </c>
      <c r="M70" s="8">
        <f t="shared" si="22"/>
        <v>-6840.1494464636144</v>
      </c>
      <c r="N70" s="208">
        <f t="shared" si="23"/>
        <v>-9724.7722140933001</v>
      </c>
      <c r="O70" s="8"/>
      <c r="P70" s="339">
        <f t="shared" si="11"/>
        <v>100115.29722233691</v>
      </c>
      <c r="Q70" s="8">
        <f t="shared" si="12"/>
        <v>500115.04945256916</v>
      </c>
      <c r="R70" s="8">
        <f>$R$8-0.0254/196.713*(F70^2+E70^2)^0.5*COS((DEGREES(ATAN(F70/E70))-1.206111)/180*PI())</f>
        <v>100115.29722267391</v>
      </c>
      <c r="S70" s="8">
        <f t="shared" si="25"/>
        <v>500115.04945209005</v>
      </c>
      <c r="T70" s="277">
        <f t="shared" si="14"/>
        <v>-3.3699325285851955E-7</v>
      </c>
      <c r="U70" s="306">
        <f t="shared" si="15"/>
        <v>4.7910725697875023E-7</v>
      </c>
      <c r="W70" s="321">
        <v>1884598</v>
      </c>
      <c r="X70" s="316">
        <v>1385776</v>
      </c>
      <c r="Y70" s="317">
        <v>100115.29700000001</v>
      </c>
      <c r="Z70" s="317">
        <v>500115.049</v>
      </c>
      <c r="AA70" s="317">
        <v>31.135393029999999</v>
      </c>
      <c r="AB70" s="317">
        <v>29.9802173</v>
      </c>
      <c r="AC70" s="105">
        <f t="shared" si="16"/>
        <v>-2.2267390158958733E-4</v>
      </c>
      <c r="AD70" s="276">
        <f t="shared" si="17"/>
        <v>-4.520900547504425E-4</v>
      </c>
    </row>
    <row r="71" spans="1:30" ht="15.7" x14ac:dyDescent="0.5">
      <c r="A71" s="288" t="s">
        <v>731</v>
      </c>
      <c r="B71" s="196" t="s">
        <v>374</v>
      </c>
      <c r="C71" s="291" t="s">
        <v>211</v>
      </c>
      <c r="D71" s="291" t="s">
        <v>210</v>
      </c>
      <c r="E71" s="9">
        <f t="shared" si="19"/>
        <v>3668168</v>
      </c>
      <c r="F71" s="9">
        <f t="shared" si="20"/>
        <v>1421276</v>
      </c>
      <c r="G71" s="9">
        <f t="shared" si="6"/>
        <v>3933888.9084975445</v>
      </c>
      <c r="H71" s="8">
        <f t="shared" si="7"/>
        <v>21.179460425055066</v>
      </c>
      <c r="I71" s="8">
        <f t="shared" si="21"/>
        <v>-109.97334931394396</v>
      </c>
      <c r="J71" s="9">
        <f t="shared" si="8"/>
        <v>-1343749.6365211012</v>
      </c>
      <c r="K71" s="9">
        <f t="shared" si="9"/>
        <v>-3697271.812938482</v>
      </c>
      <c r="L71" s="290">
        <f t="shared" si="10"/>
        <v>3933888.9084975445</v>
      </c>
      <c r="M71" s="8">
        <f t="shared" si="22"/>
        <v>-6829.7284650857837</v>
      </c>
      <c r="N71" s="208">
        <f t="shared" si="23"/>
        <v>-18791.716743722998</v>
      </c>
      <c r="O71" s="8"/>
      <c r="P71" s="339">
        <f t="shared" si="11"/>
        <v>99884.953417620403</v>
      </c>
      <c r="Q71" s="8">
        <f t="shared" si="12"/>
        <v>500115.31419539312</v>
      </c>
      <c r="R71" s="8">
        <f t="shared" si="24"/>
        <v>99884.953417956887</v>
      </c>
      <c r="S71" s="8">
        <f t="shared" si="25"/>
        <v>500115.31419446727</v>
      </c>
      <c r="T71" s="277">
        <f t="shared" si="14"/>
        <v>-3.3648393582552671E-7</v>
      </c>
      <c r="U71" s="306">
        <f t="shared" si="15"/>
        <v>9.2585105448961258E-7</v>
      </c>
      <c r="W71" s="321">
        <v>3668168</v>
      </c>
      <c r="X71" s="316">
        <v>1421276</v>
      </c>
      <c r="Y71" s="317">
        <v>99884.952999999994</v>
      </c>
      <c r="Z71" s="317">
        <v>500115.31300000002</v>
      </c>
      <c r="AA71" s="317">
        <v>31.135395849999998</v>
      </c>
      <c r="AB71" s="317">
        <v>29.97813936</v>
      </c>
      <c r="AC71" s="105">
        <f t="shared" si="16"/>
        <v>-4.1795689321588725E-4</v>
      </c>
      <c r="AD71" s="276">
        <f t="shared" si="17"/>
        <v>-1.1944672442041337E-3</v>
      </c>
    </row>
    <row r="72" spans="1:30" ht="15.7" x14ac:dyDescent="0.5">
      <c r="A72" s="288" t="s">
        <v>732</v>
      </c>
      <c r="B72" s="196" t="s">
        <v>375</v>
      </c>
      <c r="C72" s="291" t="s">
        <v>214</v>
      </c>
      <c r="D72" s="291" t="s">
        <v>213</v>
      </c>
      <c r="E72" s="9">
        <f t="shared" si="19"/>
        <v>3632521</v>
      </c>
      <c r="F72" s="9">
        <f t="shared" si="20"/>
        <v>3205195</v>
      </c>
      <c r="G72" s="9">
        <f t="shared" si="6"/>
        <v>4844428.1193414358</v>
      </c>
      <c r="H72" s="8">
        <f t="shared" si="7"/>
        <v>41.423926461620901</v>
      </c>
      <c r="I72" s="8">
        <f t="shared" si="21"/>
        <v>-130.2178153505098</v>
      </c>
      <c r="J72" s="9">
        <f t="shared" si="8"/>
        <v>-3128023.7344013429</v>
      </c>
      <c r="K72" s="9">
        <f t="shared" si="9"/>
        <v>-3699182.52056963</v>
      </c>
      <c r="L72" s="290">
        <f t="shared" si="10"/>
        <v>4844428.1193414358</v>
      </c>
      <c r="M72" s="8">
        <f t="shared" si="22"/>
        <v>-15898.462152230921</v>
      </c>
      <c r="N72" s="208">
        <f t="shared" si="23"/>
        <v>-18801.428087221993</v>
      </c>
      <c r="O72" s="8"/>
      <c r="P72" s="339">
        <f t="shared" si="11"/>
        <v>99884.706702996409</v>
      </c>
      <c r="Q72" s="8">
        <f t="shared" si="12"/>
        <v>499884.924937509</v>
      </c>
      <c r="R72" s="8">
        <f t="shared" si="24"/>
        <v>99884.706703779666</v>
      </c>
      <c r="S72" s="8">
        <f t="shared" si="25"/>
        <v>499884.92493658268</v>
      </c>
      <c r="T72" s="277">
        <f t="shared" si="14"/>
        <v>-7.832568371668458E-7</v>
      </c>
      <c r="U72" s="306">
        <f t="shared" si="15"/>
        <v>9.2631671577692032E-7</v>
      </c>
      <c r="W72" s="321">
        <v>3632521</v>
      </c>
      <c r="X72" s="316">
        <v>3205195</v>
      </c>
      <c r="Y72" s="317">
        <v>99884.707999999999</v>
      </c>
      <c r="Z72" s="317">
        <v>499884.92300000001</v>
      </c>
      <c r="AA72" s="317">
        <v>31.133008579999998</v>
      </c>
      <c r="AB72" s="317">
        <v>29.978137050000001</v>
      </c>
      <c r="AC72" s="105">
        <f t="shared" si="16"/>
        <v>1.2962203327333555E-3</v>
      </c>
      <c r="AD72" s="276">
        <f t="shared" si="17"/>
        <v>-1.9365826738066971E-3</v>
      </c>
    </row>
    <row r="73" spans="1:30" ht="15.7" x14ac:dyDescent="0.5">
      <c r="A73" s="288" t="s">
        <v>733</v>
      </c>
      <c r="B73" s="196" t="s">
        <v>376</v>
      </c>
      <c r="C73" s="291" t="s">
        <v>217</v>
      </c>
      <c r="D73" s="291" t="s">
        <v>216</v>
      </c>
      <c r="E73" s="9">
        <f t="shared" si="19"/>
        <v>1848772</v>
      </c>
      <c r="F73" s="9">
        <f t="shared" si="20"/>
        <v>3169668</v>
      </c>
      <c r="G73" s="9">
        <f t="shared" si="6"/>
        <v>3669434.9889605618</v>
      </c>
      <c r="H73" s="8">
        <f t="shared" si="7"/>
        <v>59.746273790067107</v>
      </c>
      <c r="I73" s="8">
        <f t="shared" si="21"/>
        <v>-148.54016267895599</v>
      </c>
      <c r="J73" s="9">
        <f t="shared" si="8"/>
        <v>-3130050.8371063662</v>
      </c>
      <c r="K73" s="9">
        <f t="shared" si="9"/>
        <v>-1915080.9109115293</v>
      </c>
      <c r="L73" s="290">
        <f t="shared" si="10"/>
        <v>3669434.9889605613</v>
      </c>
      <c r="M73" s="8">
        <f t="shared" si="22"/>
        <v>-15908.765084168444</v>
      </c>
      <c r="N73" s="208">
        <f t="shared" si="23"/>
        <v>-9733.5710869898285</v>
      </c>
      <c r="O73" s="8"/>
      <c r="P73" s="339">
        <f t="shared" si="11"/>
        <v>100115.07368883524</v>
      </c>
      <c r="Q73" s="8">
        <f t="shared" si="12"/>
        <v>499884.66319370602</v>
      </c>
      <c r="R73" s="8">
        <f t="shared" si="24"/>
        <v>100115.07368961901</v>
      </c>
      <c r="S73" s="8">
        <f t="shared" si="25"/>
        <v>499884.6631932265</v>
      </c>
      <c r="T73" s="277">
        <f t="shared" si="14"/>
        <v>-7.8376615419983864E-7</v>
      </c>
      <c r="U73" s="306">
        <f t="shared" si="15"/>
        <v>4.795147106051445E-7</v>
      </c>
      <c r="W73" s="321">
        <v>1848772</v>
      </c>
      <c r="X73" s="316">
        <v>3169668</v>
      </c>
      <c r="Y73" s="317">
        <v>100115.07399999999</v>
      </c>
      <c r="Z73" s="317">
        <v>499884.66200000001</v>
      </c>
      <c r="AA73" s="317">
        <v>31.133005740000002</v>
      </c>
      <c r="AB73" s="317">
        <v>29.980215189999999</v>
      </c>
      <c r="AC73" s="105">
        <f t="shared" si="16"/>
        <v>3.1038098677527159E-4</v>
      </c>
      <c r="AD73" s="276">
        <f t="shared" si="17"/>
        <v>-1.1932264897041023E-3</v>
      </c>
    </row>
    <row r="74" spans="1:30" ht="15.7" x14ac:dyDescent="0.5">
      <c r="A74" s="288" t="s">
        <v>734</v>
      </c>
      <c r="B74" s="196" t="s">
        <v>377</v>
      </c>
      <c r="C74" s="291" t="s">
        <v>220</v>
      </c>
      <c r="D74" s="291" t="s">
        <v>219</v>
      </c>
      <c r="E74" s="9">
        <f t="shared" si="19"/>
        <v>2758515</v>
      </c>
      <c r="F74" s="9">
        <f t="shared" si="20"/>
        <v>2295478</v>
      </c>
      <c r="G74" s="9">
        <f t="shared" si="6"/>
        <v>3588680.0155083486</v>
      </c>
      <c r="H74" s="8">
        <f>DEGREES(ATAN(F74/E74))</f>
        <v>39.765286077137738</v>
      </c>
      <c r="I74" s="8">
        <f t="shared" si="21"/>
        <v>-128.55917496602663</v>
      </c>
      <c r="J74" s="9">
        <f t="shared" si="8"/>
        <v>-2236905.2882769057</v>
      </c>
      <c r="K74" s="9">
        <f t="shared" si="9"/>
        <v>-2806221.4782493226</v>
      </c>
      <c r="L74" s="290">
        <f t="shared" si="10"/>
        <v>3588680.0155083486</v>
      </c>
      <c r="M74" s="8">
        <f t="shared" si="22"/>
        <v>-11369.272449143316</v>
      </c>
      <c r="N74" s="208">
        <f t="shared" si="23"/>
        <v>-14262.873223135224</v>
      </c>
      <c r="O74" s="8"/>
      <c r="P74" s="339">
        <f t="shared" si="11"/>
        <v>100000.00772771229</v>
      </c>
      <c r="Q74" s="8">
        <f t="shared" si="12"/>
        <v>499999.98804229393</v>
      </c>
      <c r="R74" s="8">
        <f t="shared" si="24"/>
        <v>100000.00772827241</v>
      </c>
      <c r="S74" s="8">
        <f t="shared" si="25"/>
        <v>499999.98804159125</v>
      </c>
      <c r="T74" s="277">
        <f t="shared" si="14"/>
        <v>-5.6011776905506849E-7</v>
      </c>
      <c r="U74" s="306">
        <f t="shared" si="15"/>
        <v>7.0268288254737854E-7</v>
      </c>
      <c r="V74" s="10"/>
      <c r="W74" s="321">
        <v>2758515</v>
      </c>
      <c r="X74" s="316">
        <v>2295478</v>
      </c>
      <c r="Y74" s="317">
        <v>100000.008</v>
      </c>
      <c r="Z74" s="317">
        <v>499999.98700000002</v>
      </c>
      <c r="AA74" s="317">
        <v>31.134200799999999</v>
      </c>
      <c r="AB74" s="317">
        <v>29.979177230000001</v>
      </c>
      <c r="AC74" s="105">
        <f t="shared" si="16"/>
        <v>2.717275929171592E-4</v>
      </c>
      <c r="AD74" s="276">
        <f t="shared" si="17"/>
        <v>-1.0415912256576121E-3</v>
      </c>
    </row>
    <row r="75" spans="1:30" ht="15.7" x14ac:dyDescent="0.5">
      <c r="A75" s="288" t="s">
        <v>719</v>
      </c>
      <c r="B75" s="196" t="s">
        <v>378</v>
      </c>
      <c r="C75" s="291" t="s">
        <v>223</v>
      </c>
      <c r="D75" s="291" t="s">
        <v>222</v>
      </c>
      <c r="E75" s="9">
        <f t="shared" si="19"/>
        <v>4630771</v>
      </c>
      <c r="F75" s="9">
        <f t="shared" si="20"/>
        <v>4089656</v>
      </c>
      <c r="G75" s="9">
        <f t="shared" si="6"/>
        <v>6178132.9099313654</v>
      </c>
      <c r="H75" s="8">
        <f t="shared" si="7"/>
        <v>41.449267276133632</v>
      </c>
      <c r="I75" s="8">
        <f t="shared" si="21"/>
        <v>-130.24315616502253</v>
      </c>
      <c r="J75" s="9">
        <f t="shared" si="8"/>
        <v>-3991276.5573049784</v>
      </c>
      <c r="K75" s="9">
        <f t="shared" si="9"/>
        <v>-4715828.4209547658</v>
      </c>
      <c r="L75" s="290">
        <f t="shared" si="10"/>
        <v>6178132.9099313654</v>
      </c>
      <c r="M75" s="8">
        <f t="shared" si="22"/>
        <v>-20286.022317392708</v>
      </c>
      <c r="N75" s="208">
        <f t="shared" si="23"/>
        <v>-23968.62237406048</v>
      </c>
      <c r="O75" s="8"/>
      <c r="P75" s="339">
        <f t="shared" si="11"/>
        <v>99753.435226938484</v>
      </c>
      <c r="Q75" s="8">
        <f t="shared" si="12"/>
        <v>499773.45990112727</v>
      </c>
      <c r="R75" s="8">
        <f t="shared" si="24"/>
        <v>99753.435227937895</v>
      </c>
      <c r="S75" s="8">
        <f t="shared" si="25"/>
        <v>499773.45989994641</v>
      </c>
      <c r="T75" s="277">
        <f t="shared" si="14"/>
        <v>-9.9941098596900702E-7</v>
      </c>
      <c r="U75" s="306">
        <f t="shared" si="15"/>
        <v>1.1808588169515133E-6</v>
      </c>
      <c r="W75" s="321">
        <v>4630771</v>
      </c>
      <c r="X75" s="316">
        <v>4089656</v>
      </c>
      <c r="Y75" s="317">
        <v>99753.436000000002</v>
      </c>
      <c r="Z75" s="317">
        <v>499773.45799999998</v>
      </c>
      <c r="AA75" s="317">
        <v>31.131853670000002</v>
      </c>
      <c r="AB75" s="317">
        <v>29.976952780000001</v>
      </c>
      <c r="AC75" s="105">
        <f t="shared" si="16"/>
        <v>7.7206210698932409E-4</v>
      </c>
      <c r="AD75" s="276">
        <f t="shared" si="17"/>
        <v>-1.8999464227817953E-3</v>
      </c>
    </row>
    <row r="76" spans="1:30" ht="15.7" x14ac:dyDescent="0.5">
      <c r="A76" s="288" t="s">
        <v>720</v>
      </c>
      <c r="B76" s="196" t="s">
        <v>379</v>
      </c>
      <c r="C76" s="291" t="s">
        <v>226</v>
      </c>
      <c r="D76" s="291" t="s">
        <v>225</v>
      </c>
      <c r="E76" s="9">
        <f t="shared" si="19"/>
        <v>6297958</v>
      </c>
      <c r="F76" s="9">
        <f t="shared" si="20"/>
        <v>4121664</v>
      </c>
      <c r="G76" s="9">
        <f t="shared" si="6"/>
        <v>7526778.1353418408</v>
      </c>
      <c r="H76" s="8">
        <f t="shared" si="7"/>
        <v>33.202520901104101</v>
      </c>
      <c r="I76" s="8">
        <f t="shared" si="21"/>
        <v>-121.99640978999298</v>
      </c>
      <c r="J76" s="9">
        <f t="shared" si="8"/>
        <v>-3988184.7542486154</v>
      </c>
      <c r="K76" s="9">
        <f t="shared" si="9"/>
        <v>-6383319.7839869279</v>
      </c>
      <c r="L76" s="290">
        <f t="shared" si="10"/>
        <v>7526778.1353418417</v>
      </c>
      <c r="M76" s="8">
        <f t="shared" si="22"/>
        <v>-20270.307950096467</v>
      </c>
      <c r="N76" s="208">
        <f t="shared" si="23"/>
        <v>-32443.797300894119</v>
      </c>
      <c r="O76" s="8"/>
      <c r="P76" s="339">
        <f t="shared" si="11"/>
        <v>99538.125203599833</v>
      </c>
      <c r="Q76" s="8">
        <f t="shared" si="12"/>
        <v>499773.85912129894</v>
      </c>
      <c r="R76" s="8">
        <f t="shared" si="24"/>
        <v>99538.125204598473</v>
      </c>
      <c r="S76" s="8">
        <f t="shared" si="25"/>
        <v>499773.85911970056</v>
      </c>
      <c r="T76" s="277">
        <f t="shared" si="14"/>
        <v>-9.9863973446190357E-7</v>
      </c>
      <c r="U76" s="306">
        <f t="shared" si="15"/>
        <v>1.598382368683815E-6</v>
      </c>
      <c r="W76" s="321">
        <v>6297958</v>
      </c>
      <c r="X76" s="316">
        <v>4121664</v>
      </c>
      <c r="Y76" s="317">
        <v>99538.126000000004</v>
      </c>
      <c r="Z76" s="317">
        <v>499773.85600000003</v>
      </c>
      <c r="AA76" s="317">
        <v>31.131857950000001</v>
      </c>
      <c r="AB76" s="317">
        <v>29.975010470000001</v>
      </c>
      <c r="AC76" s="105">
        <f t="shared" si="16"/>
        <v>7.9540153092239052E-4</v>
      </c>
      <c r="AD76" s="276">
        <f t="shared" si="17"/>
        <v>-3.1197005300782621E-3</v>
      </c>
    </row>
    <row r="77" spans="1:30" ht="15.7" x14ac:dyDescent="0.5">
      <c r="A77" s="288" t="s">
        <v>721</v>
      </c>
      <c r="B77" s="196" t="s">
        <v>365</v>
      </c>
      <c r="C77" s="291" t="s">
        <v>229</v>
      </c>
      <c r="D77" s="291" t="s">
        <v>228</v>
      </c>
      <c r="E77" s="9">
        <f t="shared" si="19"/>
        <v>6265598</v>
      </c>
      <c r="F77" s="9">
        <f t="shared" si="20"/>
        <v>5789181</v>
      </c>
      <c r="G77" s="9">
        <f t="shared" si="6"/>
        <v>8530670.252000425</v>
      </c>
      <c r="H77" s="8">
        <f t="shared" si="7"/>
        <v>42.736790940924585</v>
      </c>
      <c r="I77" s="8">
        <f t="shared" si="21"/>
        <v>-131.53067982981347</v>
      </c>
      <c r="J77" s="9">
        <f t="shared" si="8"/>
        <v>-5656013.4534348184</v>
      </c>
      <c r="K77" s="9">
        <f t="shared" si="9"/>
        <v>-6386066.6112192515</v>
      </c>
      <c r="L77" s="290">
        <f t="shared" si="10"/>
        <v>8530670.252000425</v>
      </c>
      <c r="M77" s="8">
        <f t="shared" si="22"/>
        <v>-28747.197418293272</v>
      </c>
      <c r="N77" s="208">
        <f t="shared" si="23"/>
        <v>-32457.758297516855</v>
      </c>
      <c r="O77" s="8"/>
      <c r="P77" s="339">
        <f t="shared" si="11"/>
        <v>99537.77052743861</v>
      </c>
      <c r="Q77" s="8">
        <f t="shared" si="12"/>
        <v>499558.50554040022</v>
      </c>
      <c r="R77" s="8">
        <f t="shared" si="24"/>
        <v>99537.770528854875</v>
      </c>
      <c r="S77" s="8">
        <f t="shared" si="25"/>
        <v>499558.50553880114</v>
      </c>
      <c r="T77" s="277">
        <f t="shared" si="14"/>
        <v>-1.4162651496008039E-6</v>
      </c>
      <c r="U77" s="306">
        <f t="shared" si="15"/>
        <v>1.5990808606147766E-6</v>
      </c>
      <c r="W77" s="321">
        <v>6265598</v>
      </c>
      <c r="X77" s="316">
        <v>5789181</v>
      </c>
      <c r="Y77" s="317">
        <v>99537.771999999997</v>
      </c>
      <c r="Z77" s="317">
        <v>499558.50300000003</v>
      </c>
      <c r="AA77" s="317">
        <v>31.129626550000001</v>
      </c>
      <c r="AB77" s="317">
        <v>29.975007130000002</v>
      </c>
      <c r="AC77" s="105">
        <f t="shared" si="16"/>
        <v>1.471145122195594E-3</v>
      </c>
      <c r="AD77" s="276">
        <f t="shared" si="17"/>
        <v>-2.538801112677902E-3</v>
      </c>
    </row>
    <row r="78" spans="1:30" ht="15.7" x14ac:dyDescent="0.5">
      <c r="A78" s="288" t="s">
        <v>722</v>
      </c>
      <c r="B78" s="196" t="s">
        <v>380</v>
      </c>
      <c r="C78" s="291" t="s">
        <v>232</v>
      </c>
      <c r="D78" s="291" t="s">
        <v>231</v>
      </c>
      <c r="E78" s="9">
        <f t="shared" si="19"/>
        <v>4598359</v>
      </c>
      <c r="F78" s="9">
        <f t="shared" si="20"/>
        <v>5756193</v>
      </c>
      <c r="G78" s="9">
        <f t="shared" si="6"/>
        <v>7367405.4691003673</v>
      </c>
      <c r="H78" s="8">
        <f t="shared" si="7"/>
        <v>51.380244032175</v>
      </c>
      <c r="I78" s="8">
        <f t="shared" si="21"/>
        <v>-140.17413292106389</v>
      </c>
      <c r="J78" s="9">
        <f t="shared" si="8"/>
        <v>-5658126.5681668576</v>
      </c>
      <c r="K78" s="9">
        <f t="shared" si="9"/>
        <v>-4718502.6316337204</v>
      </c>
      <c r="L78" s="290">
        <f t="shared" si="10"/>
        <v>7367405.4691003673</v>
      </c>
      <c r="M78" s="8">
        <f t="shared" si="22"/>
        <v>-28757.937514099187</v>
      </c>
      <c r="N78" s="208">
        <f t="shared" si="23"/>
        <v>-23982.214290515229</v>
      </c>
      <c r="O78" s="8"/>
      <c r="P78" s="339">
        <f t="shared" si="11"/>
        <v>99753.089927180728</v>
      </c>
      <c r="Q78" s="8">
        <f t="shared" si="12"/>
        <v>499558.23269054183</v>
      </c>
      <c r="R78" s="8">
        <f t="shared" si="24"/>
        <v>99753.089928597532</v>
      </c>
      <c r="S78" s="8">
        <f t="shared" si="25"/>
        <v>499558.23268936033</v>
      </c>
      <c r="T78" s="277">
        <f t="shared" si="14"/>
        <v>-1.4168035704642534E-6</v>
      </c>
      <c r="U78" s="306">
        <f t="shared" si="15"/>
        <v>1.1814991012215614E-6</v>
      </c>
      <c r="W78" s="321">
        <v>4598359</v>
      </c>
      <c r="X78" s="316">
        <v>5756193</v>
      </c>
      <c r="Y78" s="317">
        <v>99753.092000000004</v>
      </c>
      <c r="Z78" s="317">
        <v>499558.23100000003</v>
      </c>
      <c r="AA78" s="317">
        <v>31.129623540000001</v>
      </c>
      <c r="AB78" s="317">
        <v>29.976949529999999</v>
      </c>
      <c r="AC78" s="105">
        <f t="shared" si="16"/>
        <v>2.071402472211048E-3</v>
      </c>
      <c r="AD78" s="276">
        <f t="shared" si="17"/>
        <v>-1.6893603024072945E-3</v>
      </c>
    </row>
    <row r="79" spans="1:30" ht="15.7" x14ac:dyDescent="0.5">
      <c r="A79" s="288" t="s">
        <v>735</v>
      </c>
      <c r="B79" s="196" t="s">
        <v>381</v>
      </c>
      <c r="C79" s="291" t="s">
        <v>235</v>
      </c>
      <c r="D79" s="291" t="s">
        <v>234</v>
      </c>
      <c r="E79" s="9">
        <f t="shared" si="19"/>
        <v>5448171</v>
      </c>
      <c r="F79" s="9">
        <f t="shared" si="20"/>
        <v>4939173</v>
      </c>
      <c r="G79" s="9">
        <f t="shared" si="6"/>
        <v>7353774.3485349072</v>
      </c>
      <c r="H79" s="8">
        <f t="shared" si="7"/>
        <v>42.194650661698034</v>
      </c>
      <c r="I79" s="8">
        <f t="shared" si="21"/>
        <v>-130.98853955058692</v>
      </c>
      <c r="J79" s="9">
        <f t="shared" si="8"/>
        <v>-4823399.8439241219</v>
      </c>
      <c r="K79" s="9">
        <f t="shared" si="9"/>
        <v>-5550928.851534918</v>
      </c>
      <c r="L79" s="290">
        <f t="shared" si="10"/>
        <v>7353774.3485349072</v>
      </c>
      <c r="M79" s="8">
        <f t="shared" si="22"/>
        <v>-24515.363812730302</v>
      </c>
      <c r="N79" s="208">
        <f t="shared" si="23"/>
        <v>-28213.095471522858</v>
      </c>
      <c r="O79" s="8"/>
      <c r="P79" s="339">
        <f t="shared" si="11"/>
        <v>99645.605287195125</v>
      </c>
      <c r="Q79" s="8">
        <f t="shared" si="12"/>
        <v>499666.0143765299</v>
      </c>
      <c r="R79" s="8">
        <f t="shared" si="24"/>
        <v>99645.605288402905</v>
      </c>
      <c r="S79" s="8">
        <f t="shared" si="25"/>
        <v>499666.01437513996</v>
      </c>
      <c r="T79" s="277">
        <f t="shared" si="14"/>
        <v>-1.207779860123992E-6</v>
      </c>
      <c r="U79" s="306">
        <f t="shared" si="15"/>
        <v>1.3899407349526882E-6</v>
      </c>
      <c r="W79" s="321">
        <v>5448171</v>
      </c>
      <c r="X79" s="316">
        <v>4939173</v>
      </c>
      <c r="Y79" s="317">
        <v>99645.607000000004</v>
      </c>
      <c r="Z79" s="317">
        <v>499666.01199999999</v>
      </c>
      <c r="AA79" s="317">
        <v>31.130740429999999</v>
      </c>
      <c r="AB79" s="317">
        <v>29.975979980000002</v>
      </c>
      <c r="AC79" s="105">
        <f t="shared" si="16"/>
        <v>1.7115970986196771E-3</v>
      </c>
      <c r="AD79" s="276">
        <f t="shared" si="17"/>
        <v>-2.3751399712637067E-3</v>
      </c>
    </row>
    <row r="80" spans="1:30" ht="15.7" x14ac:dyDescent="0.5">
      <c r="A80" s="288" t="s">
        <v>723</v>
      </c>
      <c r="B80" s="196" t="s">
        <v>382</v>
      </c>
      <c r="C80" s="291" t="s">
        <v>238</v>
      </c>
      <c r="D80" s="291" t="s">
        <v>237</v>
      </c>
      <c r="E80" s="9">
        <f t="shared" si="19"/>
        <v>7998215</v>
      </c>
      <c r="F80" s="9">
        <f t="shared" si="20"/>
        <v>6437758</v>
      </c>
      <c r="G80" s="9">
        <f t="shared" si="6"/>
        <v>10267237.761578768</v>
      </c>
      <c r="H80" s="8">
        <f t="shared" si="7"/>
        <v>38.830565313086502</v>
      </c>
      <c r="I80" s="8">
        <f t="shared" si="21"/>
        <v>-127.6244542019754</v>
      </c>
      <c r="J80" s="9">
        <f t="shared" si="8"/>
        <v>-6267976.8061791081</v>
      </c>
      <c r="K80" s="9">
        <f t="shared" si="9"/>
        <v>-8131951.6728759371</v>
      </c>
      <c r="L80" s="290">
        <f t="shared" si="10"/>
        <v>10267237.761578768</v>
      </c>
      <c r="M80" s="8">
        <f t="shared" si="22"/>
        <v>-31857.556235317872</v>
      </c>
      <c r="N80" s="208">
        <f t="shared" si="23"/>
        <v>-41331.376253042508</v>
      </c>
      <c r="O80" s="8"/>
      <c r="P80" s="339">
        <f t="shared" si="11"/>
        <v>99312.338143376139</v>
      </c>
      <c r="Q80" s="8">
        <f t="shared" si="12"/>
        <v>499479.48753366095</v>
      </c>
      <c r="R80" s="8">
        <f t="shared" si="24"/>
        <v>99312.33814494565</v>
      </c>
      <c r="S80" s="8">
        <f t="shared" si="25"/>
        <v>499479.48753162473</v>
      </c>
      <c r="T80" s="277">
        <f t="shared" si="14"/>
        <v>-1.5695113688707352E-6</v>
      </c>
      <c r="U80" s="306">
        <f t="shared" si="15"/>
        <v>2.0362203940749168E-6</v>
      </c>
      <c r="W80" s="321">
        <v>7998215</v>
      </c>
      <c r="X80" s="316">
        <v>6437758</v>
      </c>
      <c r="Y80" s="317">
        <v>99312.34</v>
      </c>
      <c r="Z80" s="317">
        <v>499479.484</v>
      </c>
      <c r="AA80" s="317">
        <v>31.128807999999999</v>
      </c>
      <c r="AB80" s="317">
        <v>29.97297343</v>
      </c>
      <c r="AC80" s="105">
        <f t="shared" si="16"/>
        <v>1.8550543463788927E-3</v>
      </c>
      <c r="AD80" s="276">
        <f t="shared" si="17"/>
        <v>-3.5316247376613319E-3</v>
      </c>
    </row>
    <row r="81" spans="1:30" ht="15.7" x14ac:dyDescent="0.5">
      <c r="A81" s="288" t="s">
        <v>724</v>
      </c>
      <c r="B81" s="196" t="s">
        <v>370</v>
      </c>
      <c r="C81" s="291" t="s">
        <v>241</v>
      </c>
      <c r="D81" s="291" t="s">
        <v>240</v>
      </c>
      <c r="E81" s="9">
        <f t="shared" si="19"/>
        <v>8814325</v>
      </c>
      <c r="F81" s="9">
        <f t="shared" si="20"/>
        <v>6457924</v>
      </c>
      <c r="G81" s="9">
        <f t="shared" ref="G81:G84" si="26">(E81^2+F81^2)^0.5</f>
        <v>10926898.35202108</v>
      </c>
      <c r="H81" s="8">
        <f t="shared" ref="H81:H84" si="27">DEGREES(ATAN(F81/E81))</f>
        <v>36.22882940403904</v>
      </c>
      <c r="I81" s="8">
        <f t="shared" si="21"/>
        <v>-125.02271829292792</v>
      </c>
      <c r="J81" s="9">
        <f t="shared" ref="J81:J84" si="28">G81*SIN((90-I81)/180*PI())</f>
        <v>-6270959.9936949946</v>
      </c>
      <c r="K81" s="9">
        <f t="shared" ref="K81:K84" si="29">G81*COS((90-I81)/180*PI())</f>
        <v>-8948305.3341332655</v>
      </c>
      <c r="L81" s="290">
        <f t="shared" ref="L81:L84" si="30">(J81^2+K81^2)^0.5</f>
        <v>10926898.35202108</v>
      </c>
      <c r="M81" s="8">
        <f t="shared" si="22"/>
        <v>-31872.71855435424</v>
      </c>
      <c r="N81" s="208">
        <f t="shared" si="23"/>
        <v>-45480.567208212393</v>
      </c>
      <c r="O81" s="8"/>
      <c r="P81" s="339">
        <f t="shared" ref="P81:P84" si="31">N81*0.0254/R$7+$R$8</f>
        <v>99206.928826269825</v>
      </c>
      <c r="Q81" s="8">
        <f t="shared" ref="Q81:Q84" si="32">M81*0.0254/R$7+$R$9</f>
        <v>499479.10233815835</v>
      </c>
      <c r="R81" s="8">
        <f t="shared" si="24"/>
        <v>99206.928827840078</v>
      </c>
      <c r="S81" s="8">
        <f t="shared" si="25"/>
        <v>499479.10233591771</v>
      </c>
      <c r="T81" s="277">
        <f t="shared" ref="T81:T84" si="33">(P81-R81)</f>
        <v>-1.5702535165473819E-6</v>
      </c>
      <c r="U81" s="306">
        <f t="shared" ref="U81:U84" si="34">(Q81-S81)</f>
        <v>2.2406456992030144E-6</v>
      </c>
      <c r="W81" s="321">
        <v>8814325</v>
      </c>
      <c r="X81" s="316">
        <v>6457924</v>
      </c>
      <c r="Y81" s="317">
        <v>99206.930999999997</v>
      </c>
      <c r="Z81" s="317">
        <v>499479.09899999999</v>
      </c>
      <c r="AA81" s="317">
        <v>31.128804110000001</v>
      </c>
      <c r="AB81" s="317">
        <v>29.97202253</v>
      </c>
      <c r="AC81" s="105">
        <f t="shared" ref="AC81:AC84" si="35">Y81-R81</f>
        <v>2.1721599187003449E-3</v>
      </c>
      <c r="AD81" s="276">
        <f t="shared" ref="AD81:AD84" si="36">Z81-S81</f>
        <v>-3.3359177177771926E-3</v>
      </c>
    </row>
    <row r="82" spans="1:30" ht="15.7" x14ac:dyDescent="0.5">
      <c r="A82" s="288" t="s">
        <v>725</v>
      </c>
      <c r="B82" s="196" t="s">
        <v>383</v>
      </c>
      <c r="C82" s="291" t="s">
        <v>244</v>
      </c>
      <c r="D82" s="291" t="s">
        <v>243</v>
      </c>
      <c r="E82" s="9">
        <f t="shared" si="19"/>
        <v>8793987</v>
      </c>
      <c r="F82" s="9">
        <f t="shared" si="20"/>
        <v>7275727</v>
      </c>
      <c r="G82" s="9">
        <f t="shared" si="26"/>
        <v>11413606.386006922</v>
      </c>
      <c r="H82" s="8">
        <f t="shared" si="27"/>
        <v>39.602739514336641</v>
      </c>
      <c r="I82" s="8">
        <f t="shared" si="21"/>
        <v>-128.39662840322552</v>
      </c>
      <c r="J82" s="9">
        <f t="shared" si="28"/>
        <v>-7089009.9002956934</v>
      </c>
      <c r="K82" s="9">
        <f t="shared" si="29"/>
        <v>-8945185.8207757547</v>
      </c>
      <c r="L82" s="290">
        <f t="shared" si="30"/>
        <v>11413606.386006922</v>
      </c>
      <c r="M82" s="8">
        <f t="shared" si="22"/>
        <v>-36030.530829143885</v>
      </c>
      <c r="N82" s="208">
        <f t="shared" si="23"/>
        <v>-45464.712000816638</v>
      </c>
      <c r="O82" s="8"/>
      <c r="P82" s="339">
        <f t="shared" si="31"/>
        <v>99207.331624454397</v>
      </c>
      <c r="Q82" s="8">
        <f t="shared" si="32"/>
        <v>499373.47399825376</v>
      </c>
      <c r="R82" s="8">
        <f t="shared" si="24"/>
        <v>99207.331626229483</v>
      </c>
      <c r="S82" s="8">
        <f t="shared" si="25"/>
        <v>499373.47399601387</v>
      </c>
      <c r="T82" s="277">
        <f t="shared" si="33"/>
        <v>-1.7750862753018737E-6</v>
      </c>
      <c r="U82" s="306">
        <f t="shared" si="34"/>
        <v>2.2398889996111393E-6</v>
      </c>
      <c r="W82" s="321">
        <v>8793987</v>
      </c>
      <c r="X82" s="316">
        <v>7275727</v>
      </c>
      <c r="Y82" s="317">
        <v>99207.334000000003</v>
      </c>
      <c r="Z82" s="317">
        <v>499373.47</v>
      </c>
      <c r="AA82" s="317">
        <v>31.127709660000001</v>
      </c>
      <c r="AB82" s="317">
        <v>29.972026079999999</v>
      </c>
      <c r="AC82" s="105">
        <f t="shared" si="35"/>
        <v>2.3737705196253955E-3</v>
      </c>
      <c r="AD82" s="276">
        <f t="shared" si="36"/>
        <v>-3.9960138965398073E-3</v>
      </c>
    </row>
    <row r="83" spans="1:30" s="315" customFormat="1" ht="16" customHeight="1" x14ac:dyDescent="0.5">
      <c r="A83" s="288" t="s">
        <v>726</v>
      </c>
      <c r="B83" s="196" t="s">
        <v>384</v>
      </c>
      <c r="C83" s="291" t="s">
        <v>247</v>
      </c>
      <c r="D83" s="298" t="s">
        <v>246</v>
      </c>
      <c r="E83" s="309">
        <f>_xlfn.NUMBERVALUE(C83)</f>
        <v>7976980</v>
      </c>
      <c r="F83" s="309">
        <v>7255560</v>
      </c>
      <c r="G83" s="309">
        <f t="shared" si="26"/>
        <v>10783105.342803622</v>
      </c>
      <c r="H83" s="310">
        <f t="shared" si="27"/>
        <v>42.288472026708128</v>
      </c>
      <c r="I83" s="310">
        <f t="shared" si="21"/>
        <v>-131.08236091559701</v>
      </c>
      <c r="J83" s="309">
        <f t="shared" si="28"/>
        <v>-7086044.5940040397</v>
      </c>
      <c r="K83" s="309">
        <f t="shared" si="29"/>
        <v>-8127935.3372050235</v>
      </c>
      <c r="L83" s="311">
        <f t="shared" si="30"/>
        <v>10783105.342803622</v>
      </c>
      <c r="M83" s="310">
        <f t="shared" si="22"/>
        <v>-36015.459393038989</v>
      </c>
      <c r="N83" s="312">
        <f t="shared" si="23"/>
        <v>-41310.962865524874</v>
      </c>
      <c r="O83" s="310"/>
      <c r="P83" s="339">
        <f t="shared" si="31"/>
        <v>99312.85674116094</v>
      </c>
      <c r="Q83" s="8">
        <f t="shared" si="32"/>
        <v>499373.85688489472</v>
      </c>
      <c r="R83" s="310">
        <f t="shared" si="24"/>
        <v>99312.856742935299</v>
      </c>
      <c r="S83" s="310">
        <f t="shared" si="25"/>
        <v>499373.85688285949</v>
      </c>
      <c r="T83" s="313">
        <f t="shared" si="33"/>
        <v>-1.7743586795404553E-6</v>
      </c>
      <c r="U83" s="314">
        <f t="shared" si="34"/>
        <v>2.0352308638393879E-6</v>
      </c>
      <c r="W83" s="322">
        <v>7976980</v>
      </c>
      <c r="X83" s="319">
        <v>7255560</v>
      </c>
      <c r="Y83" s="320">
        <v>99312.858999999997</v>
      </c>
      <c r="Z83" s="320">
        <v>499373.85399999999</v>
      </c>
      <c r="AA83" s="320">
        <v>31.12771352</v>
      </c>
      <c r="AB83" s="320">
        <v>29.972978019999999</v>
      </c>
      <c r="AC83" s="105">
        <f t="shared" si="35"/>
        <v>2.2570646979147568E-3</v>
      </c>
      <c r="AD83" s="276">
        <f t="shared" si="36"/>
        <v>-2.8828594950027764E-3</v>
      </c>
    </row>
    <row r="84" spans="1:30" ht="16" thickBot="1" x14ac:dyDescent="0.55000000000000004">
      <c r="A84" s="299" t="s">
        <v>736</v>
      </c>
      <c r="B84" s="300" t="s">
        <v>385</v>
      </c>
      <c r="C84" s="301" t="s">
        <v>250</v>
      </c>
      <c r="D84" s="301" t="s">
        <v>249</v>
      </c>
      <c r="E84" s="76">
        <f>_xlfn.NUMBERVALUE(C84)</f>
        <v>8395877</v>
      </c>
      <c r="F84" s="76">
        <f>_xlfn.NUMBERVALUE(D84)</f>
        <v>6856742</v>
      </c>
      <c r="G84" s="76">
        <f t="shared" si="26"/>
        <v>10840002.834579565</v>
      </c>
      <c r="H84" s="30">
        <f t="shared" si="27"/>
        <v>39.237813821436475</v>
      </c>
      <c r="I84" s="30">
        <f t="shared" si="21"/>
        <v>-128.03170271032536</v>
      </c>
      <c r="J84" s="76">
        <f t="shared" si="28"/>
        <v>-6678497.5683365846</v>
      </c>
      <c r="K84" s="76">
        <f t="shared" si="29"/>
        <v>-8538344.7859298419</v>
      </c>
      <c r="L84" s="302">
        <f t="shared" si="30"/>
        <v>10840002.834579565</v>
      </c>
      <c r="M84" s="30">
        <f t="shared" si="22"/>
        <v>-33944.064955851842</v>
      </c>
      <c r="N84" s="287">
        <f t="shared" si="23"/>
        <v>-43396.905825519156</v>
      </c>
      <c r="O84" s="8"/>
      <c r="P84" s="335">
        <f t="shared" si="31"/>
        <v>99259.863802221429</v>
      </c>
      <c r="Q84" s="30">
        <f t="shared" si="32"/>
        <v>499426.4802216948</v>
      </c>
      <c r="R84" s="30">
        <f t="shared" si="24"/>
        <v>99259.863803893721</v>
      </c>
      <c r="S84" s="30">
        <f t="shared" si="25"/>
        <v>499426.48021955678</v>
      </c>
      <c r="T84" s="307">
        <f t="shared" si="33"/>
        <v>-1.6722915461286902E-6</v>
      </c>
      <c r="U84" s="308">
        <f t="shared" si="34"/>
        <v>2.1380255930125713E-6</v>
      </c>
      <c r="W84" s="323">
        <v>8395877</v>
      </c>
      <c r="X84" s="324">
        <v>6856742</v>
      </c>
      <c r="Y84" s="325">
        <v>99259.865999999995</v>
      </c>
      <c r="Z84" s="325">
        <v>499426.47700000001</v>
      </c>
      <c r="AA84" s="325">
        <v>31.12825883</v>
      </c>
      <c r="AB84" s="325">
        <v>29.972500019999998</v>
      </c>
      <c r="AC84" s="107">
        <f t="shared" si="35"/>
        <v>2.196106273913756E-3</v>
      </c>
      <c r="AD84" s="332">
        <f t="shared" si="36"/>
        <v>-3.219556761905551E-3</v>
      </c>
    </row>
    <row r="87" spans="1:30" ht="15.7" customHeight="1" x14ac:dyDescent="0.5"/>
  </sheetData>
  <mergeCells count="17">
    <mergeCell ref="A11:D12"/>
    <mergeCell ref="M13:N13"/>
    <mergeCell ref="A64:D64"/>
    <mergeCell ref="I14:L14"/>
    <mergeCell ref="M14:N14"/>
    <mergeCell ref="I13:L13"/>
    <mergeCell ref="G14:H14"/>
    <mergeCell ref="E14:F14"/>
    <mergeCell ref="E13:H13"/>
    <mergeCell ref="A13:C13"/>
    <mergeCell ref="A14:C14"/>
    <mergeCell ref="AC14:AD14"/>
    <mergeCell ref="AC7:AD10"/>
    <mergeCell ref="T11:U11"/>
    <mergeCell ref="R14:S14"/>
    <mergeCell ref="P13:S13"/>
    <mergeCell ref="P14:Q14"/>
  </mergeCells>
  <conditionalFormatting sqref="L16:L84">
    <cfRule type="expression" dxfId="13" priority="7">
      <formula>L16=G16</formula>
    </cfRule>
  </conditionalFormatting>
  <conditionalFormatting sqref="M16:M64 M66:M84">
    <cfRule type="cellIs" dxfId="12" priority="11" operator="equal">
      <formula>0</formula>
    </cfRule>
  </conditionalFormatting>
  <conditionalFormatting sqref="T16:U64 T66:U84">
    <cfRule type="cellIs" dxfId="11" priority="2" operator="equal">
      <formula>0</formula>
    </cfRule>
    <cfRule type="cellIs" dxfId="10" priority="4" operator="equal">
      <formula>0</formula>
    </cfRule>
    <cfRule type="cellIs" dxfId="9" priority="5" operator="equal">
      <formula>0</formula>
    </cfRule>
  </conditionalFormatting>
  <conditionalFormatting sqref="AC13">
    <cfRule type="cellIs" dxfId="8" priority="3" operator="equal">
      <formula>0</formula>
    </cfRule>
  </conditionalFormatting>
  <pageMargins left="0.7" right="0.7" top="0.75" bottom="0.75" header="0.3" footer="0.3"/>
  <pageSetup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4F77F-442F-40E4-A6E1-8DB4E7384888}">
  <dimension ref="A1:X105"/>
  <sheetViews>
    <sheetView zoomScale="55" zoomScaleNormal="55" workbookViewId="0">
      <pane xSplit="2" ySplit="4" topLeftCell="C5" activePane="bottomRight" state="frozen"/>
      <selection pane="topRight" activeCell="C1" sqref="C1"/>
      <selection pane="bottomLeft" activeCell="A5" sqref="A5"/>
      <selection pane="bottomRight" activeCell="S16" sqref="S16"/>
    </sheetView>
  </sheetViews>
  <sheetFormatPr defaultRowHeight="15.35" x14ac:dyDescent="0.5"/>
  <cols>
    <col min="1" max="1" width="66.1640625" style="4" bestFit="1" customWidth="1"/>
    <col min="2" max="2" width="6.21875" style="7" bestFit="1" customWidth="1"/>
    <col min="3" max="4" width="11.44140625" style="4" bestFit="1" customWidth="1"/>
    <col min="5" max="5" width="10.44140625" style="4" bestFit="1" customWidth="1"/>
    <col min="6" max="6" width="11.44140625" style="4" bestFit="1" customWidth="1"/>
    <col min="7" max="8" width="12" style="4" bestFit="1" customWidth="1"/>
    <col min="9" max="9" width="12.1640625" style="7" bestFit="1" customWidth="1"/>
    <col min="10" max="10" width="9.44140625" style="4" bestFit="1" customWidth="1"/>
    <col min="11" max="11" width="3" style="7" bestFit="1" customWidth="1"/>
    <col min="12" max="12" width="10.44140625" style="7" bestFit="1" customWidth="1"/>
    <col min="13" max="13" width="12.6640625" style="4" bestFit="1" customWidth="1"/>
    <col min="14" max="14" width="20.1640625" style="4" bestFit="1" customWidth="1"/>
    <col min="15" max="15" width="38.33203125" style="4" bestFit="1" customWidth="1"/>
    <col min="16" max="16" width="17" style="4" bestFit="1" customWidth="1"/>
    <col min="17" max="17" width="9.1640625" style="4" bestFit="1" customWidth="1"/>
    <col min="18" max="18" width="11.44140625" style="4" bestFit="1" customWidth="1"/>
    <col min="19" max="19" width="18.71875" style="4" bestFit="1" customWidth="1"/>
    <col min="20" max="20" width="14.5" style="4" bestFit="1" customWidth="1"/>
    <col min="21" max="21" width="8.109375" style="4" bestFit="1" customWidth="1"/>
    <col min="22" max="22" width="8.83203125" style="4" bestFit="1" customWidth="1"/>
    <col min="23" max="23" width="7.88671875" style="4" bestFit="1" customWidth="1"/>
    <col min="24" max="24" width="12.33203125" style="4" bestFit="1" customWidth="1"/>
    <col min="25" max="16384" width="8.88671875" style="4"/>
  </cols>
  <sheetData>
    <row r="1" spans="1:23" x14ac:dyDescent="0.5">
      <c r="A1" s="4" t="s">
        <v>193</v>
      </c>
    </row>
    <row r="2" spans="1:23" x14ac:dyDescent="0.5">
      <c r="A2" s="4" t="s">
        <v>645</v>
      </c>
    </row>
    <row r="4" spans="1:23" ht="15.7" thickBot="1" x14ac:dyDescent="0.55000000000000004">
      <c r="C4" s="7" t="s">
        <v>307</v>
      </c>
      <c r="D4" s="7" t="s">
        <v>308</v>
      </c>
    </row>
    <row r="5" spans="1:23" x14ac:dyDescent="0.5">
      <c r="A5" s="24" t="s">
        <v>194</v>
      </c>
      <c r="B5" s="206" t="s">
        <v>369</v>
      </c>
      <c r="C5" s="334">
        <f>'Petrie &amp; Dash Plateau Survey'!M66</f>
        <v>-11392.92603355664</v>
      </c>
      <c r="D5" s="207">
        <f>'Petrie &amp; Dash Plateau Survey'!N66</f>
        <v>-9729.189375524169</v>
      </c>
      <c r="I5" s="4"/>
    </row>
    <row r="6" spans="1:23" x14ac:dyDescent="0.5">
      <c r="A6" s="26" t="s">
        <v>197</v>
      </c>
      <c r="B6" s="196" t="s">
        <v>371</v>
      </c>
      <c r="C6" s="339">
        <f>'Petrie &amp; Dash Plateau Survey'!M67</f>
        <v>-6835.5528440546195</v>
      </c>
      <c r="D6" s="208">
        <f>'Petrie &amp; Dash Plateau Survey'!N67</f>
        <v>-13722.977660279594</v>
      </c>
      <c r="I6" s="4"/>
    </row>
    <row r="7" spans="1:23" x14ac:dyDescent="0.5">
      <c r="A7" s="26" t="s">
        <v>200</v>
      </c>
      <c r="B7" s="196" t="s">
        <v>366</v>
      </c>
      <c r="C7" s="339">
        <f>'Petrie &amp; Dash Plateau Survey'!M68</f>
        <v>-12393.054413129687</v>
      </c>
      <c r="D7" s="208">
        <f>'Petrie &amp; Dash Plateau Survey'!N68</f>
        <v>-18797.674741619994</v>
      </c>
      <c r="I7" s="4"/>
    </row>
    <row r="8" spans="1:23" ht="15.7" thickBot="1" x14ac:dyDescent="0.55000000000000004">
      <c r="A8" s="26" t="s">
        <v>203</v>
      </c>
      <c r="B8" s="196" t="s">
        <v>372</v>
      </c>
      <c r="C8" s="335">
        <f>'Petrie &amp; Dash Plateau Survey'!M69</f>
        <v>-15904.058719056346</v>
      </c>
      <c r="D8" s="287">
        <f>'Petrie &amp; Dash Plateau Survey'!N69</f>
        <v>-13882.109881496668</v>
      </c>
      <c r="I8" s="4"/>
      <c r="M8" s="15"/>
    </row>
    <row r="9" spans="1:23" ht="15.7" thickBot="1" x14ac:dyDescent="0.55000000000000004">
      <c r="A9" s="24"/>
      <c r="B9" s="25"/>
      <c r="C9" s="9"/>
      <c r="D9" s="9"/>
      <c r="E9" s="71"/>
      <c r="F9" s="25" t="s">
        <v>482</v>
      </c>
      <c r="G9" s="25" t="s">
        <v>488</v>
      </c>
      <c r="H9" s="25" t="s">
        <v>489</v>
      </c>
      <c r="I9" s="25" t="s">
        <v>486</v>
      </c>
      <c r="J9" s="25" t="s">
        <v>487</v>
      </c>
      <c r="K9" s="149"/>
      <c r="L9" s="71"/>
      <c r="M9" s="72" t="s">
        <v>365</v>
      </c>
      <c r="P9" s="529" t="s">
        <v>761</v>
      </c>
      <c r="Q9" s="71"/>
      <c r="R9" s="71"/>
      <c r="S9" s="71"/>
      <c r="T9" s="31" t="s">
        <v>414</v>
      </c>
      <c r="U9" s="71"/>
      <c r="V9" s="71"/>
      <c r="W9" s="72"/>
    </row>
    <row r="10" spans="1:23" ht="15.35" customHeight="1" thickBot="1" x14ac:dyDescent="0.55000000000000004">
      <c r="A10" s="26" t="s">
        <v>53</v>
      </c>
      <c r="B10" s="7" t="s">
        <v>54</v>
      </c>
      <c r="C10" s="10">
        <f>'Petrie &amp; Dash Plateau Survey'!M29</f>
        <v>-15929.041003679889</v>
      </c>
      <c r="D10" s="10">
        <f>'Petrie &amp; Dash Plateau Survey'!N29</f>
        <v>-9713.1903195930936</v>
      </c>
      <c r="F10" s="4" t="s">
        <v>481</v>
      </c>
      <c r="G10" s="10">
        <f>((C10-C11)^2+(D10-D11)^2)^0.5</f>
        <v>9110.9664267595854</v>
      </c>
      <c r="H10" s="209">
        <f>G10+9.8+8.2</f>
        <v>9128.9664267595854</v>
      </c>
      <c r="I10" s="4">
        <v>9129.7999999999993</v>
      </c>
      <c r="J10" s="209">
        <f>I10-H10</f>
        <v>0.83357324041389802</v>
      </c>
      <c r="L10" s="4"/>
      <c r="M10" s="73"/>
      <c r="P10" s="530"/>
      <c r="Q10" s="527" t="s">
        <v>364</v>
      </c>
      <c r="R10" s="528"/>
      <c r="S10" s="514" t="s">
        <v>368</v>
      </c>
      <c r="T10" s="32">
        <f>C41</f>
        <v>-11369.272449143316</v>
      </c>
      <c r="W10" s="73"/>
    </row>
    <row r="11" spans="1:23" ht="15.7" thickBot="1" x14ac:dyDescent="0.55000000000000004">
      <c r="A11" s="26" t="s">
        <v>61</v>
      </c>
      <c r="B11" s="7" t="s">
        <v>62</v>
      </c>
      <c r="C11" s="10">
        <f>'Petrie &amp; Dash Plateau Survey'!M31</f>
        <v>-6818.0779413183227</v>
      </c>
      <c r="D11" s="10">
        <f>'Petrie &amp; Dash Plateau Survey'!N31</f>
        <v>-9705.3605160527186</v>
      </c>
      <c r="F11" s="4" t="s">
        <v>483</v>
      </c>
      <c r="G11" s="10">
        <f>((C11-C12)^2+(D11-D12)^2)^0.5</f>
        <v>9108.0140917552981</v>
      </c>
      <c r="H11" s="209">
        <f>G11+10.8+11.8</f>
        <v>9130.6140917552966</v>
      </c>
      <c r="I11" s="4">
        <v>9130.7999999999993</v>
      </c>
      <c r="J11" s="209">
        <f t="shared" ref="J11:J13" si="0">I11-H11</f>
        <v>0.18590824470265943</v>
      </c>
      <c r="L11" s="4"/>
      <c r="M11" s="73"/>
      <c r="P11" s="26"/>
      <c r="Q11" s="20" t="s">
        <v>365</v>
      </c>
      <c r="R11" s="21" t="s">
        <v>366</v>
      </c>
      <c r="S11" s="515"/>
      <c r="T11" s="33">
        <f>D41</f>
        <v>-14262.873223135224</v>
      </c>
      <c r="W11" s="73"/>
    </row>
    <row r="12" spans="1:23" x14ac:dyDescent="0.5">
      <c r="A12" s="26" t="s">
        <v>77</v>
      </c>
      <c r="B12" s="7" t="s">
        <v>78</v>
      </c>
      <c r="C12" s="10">
        <f>'Petrie &amp; Dash Plateau Survey'!M35</f>
        <v>-6807.7786564479266</v>
      </c>
      <c r="D12" s="10">
        <f>'Petrie &amp; Dash Plateau Survey'!N35</f>
        <v>-18813.36878462298</v>
      </c>
      <c r="F12" s="4" t="s">
        <v>484</v>
      </c>
      <c r="G12" s="10">
        <f>((C12-C13)^2+(D12-D13)^2)^0.5</f>
        <v>9099.1442366648062</v>
      </c>
      <c r="H12" s="209">
        <f>G12+12.1+11.9</f>
        <v>9123.1442366648062</v>
      </c>
      <c r="I12" s="4">
        <v>9123.9</v>
      </c>
      <c r="J12" s="209">
        <f t="shared" si="0"/>
        <v>0.75576333519347827</v>
      </c>
      <c r="L12" s="9">
        <f>SUM(G10:G13)</f>
        <v>36415.0420857961</v>
      </c>
      <c r="M12" s="73">
        <f>L12*0.0254</f>
        <v>924.94206897922095</v>
      </c>
      <c r="P12" s="26" t="s">
        <v>363</v>
      </c>
      <c r="Q12" s="15">
        <f>(D12-D10)/(C12-C10)</f>
        <v>-0.99768849075934385</v>
      </c>
      <c r="R12" s="9">
        <f>D12-Q12*C12</f>
        <v>-25605.411197798185</v>
      </c>
      <c r="S12" s="9">
        <f>Q12*C12+R12</f>
        <v>-18813.36878462298</v>
      </c>
      <c r="T12" s="10">
        <f>(R13-R12)/(Q12-Q13)</f>
        <v>-11368.229219810104</v>
      </c>
      <c r="U12" s="10"/>
      <c r="V12" s="10">
        <f>Q12*C10+R12</f>
        <v>-9713.1903195930918</v>
      </c>
      <c r="W12" s="74">
        <f>Q12*C12+R12</f>
        <v>-18813.36878462298</v>
      </c>
    </row>
    <row r="13" spans="1:23" ht="15.7" thickBot="1" x14ac:dyDescent="0.55000000000000004">
      <c r="A13" s="27" t="s">
        <v>85</v>
      </c>
      <c r="B13" s="28" t="s">
        <v>86</v>
      </c>
      <c r="C13" s="77">
        <f>'Petrie &amp; Dash Plateau Survey'!M37</f>
        <v>-15906.922299040003</v>
      </c>
      <c r="D13" s="77">
        <f>'Petrie &amp; Dash Plateau Survey'!N37</f>
        <v>-18810.080759901484</v>
      </c>
      <c r="E13" s="29"/>
      <c r="F13" s="29" t="s">
        <v>485</v>
      </c>
      <c r="G13" s="77">
        <f>((C13-C10)^2+(D13-D10)^2)^0.5</f>
        <v>9096.9173306164066</v>
      </c>
      <c r="H13" s="210">
        <f>G13+11.7+9.7</f>
        <v>9118.3173306164081</v>
      </c>
      <c r="I13" s="29">
        <v>9119.2000000000007</v>
      </c>
      <c r="J13" s="210">
        <f t="shared" si="0"/>
        <v>0.88266938359265623</v>
      </c>
      <c r="K13" s="28"/>
      <c r="L13" s="76">
        <f>AVERAGE(G10:G13)</f>
        <v>9103.760521449025</v>
      </c>
      <c r="M13" s="197">
        <f>L13*0.0254</f>
        <v>231.23551724480524</v>
      </c>
      <c r="P13" s="27" t="s">
        <v>362</v>
      </c>
      <c r="Q13" s="75">
        <f>(D13-D11)/(C13-C11)</f>
        <v>1.0017467441956576</v>
      </c>
      <c r="R13" s="76">
        <f>D13-Q13*C13</f>
        <v>-2875.3731366648572</v>
      </c>
      <c r="S13" s="76">
        <f>Q13*C13+R13</f>
        <v>-18810.080759901484</v>
      </c>
      <c r="T13" s="77">
        <f>Q13*T12+R13</f>
        <v>-14263.459744879568</v>
      </c>
      <c r="U13" s="77">
        <f>Q12*T12+R12</f>
        <v>-14263.459744879568</v>
      </c>
      <c r="V13" s="77">
        <f>Q13*C13+R13</f>
        <v>-18810.080759901484</v>
      </c>
      <c r="W13" s="78">
        <f>Q13*C11+R13</f>
        <v>-9705.3605160527186</v>
      </c>
    </row>
    <row r="14" spans="1:23" ht="15.7" thickBot="1" x14ac:dyDescent="0.55000000000000004">
      <c r="A14" s="198"/>
      <c r="B14" s="202"/>
      <c r="C14" s="201"/>
      <c r="D14" s="201"/>
      <c r="E14" s="205"/>
      <c r="F14" s="205"/>
      <c r="G14" s="205"/>
      <c r="H14" s="205"/>
      <c r="I14" s="205"/>
      <c r="J14" s="205"/>
      <c r="K14" s="205"/>
      <c r="L14" s="188"/>
      <c r="M14" s="518" t="s">
        <v>316</v>
      </c>
      <c r="N14" s="519"/>
      <c r="O14" s="64" t="s">
        <v>343</v>
      </c>
      <c r="T14" s="10"/>
      <c r="U14" s="10"/>
      <c r="V14" s="10"/>
      <c r="W14" s="10"/>
    </row>
    <row r="15" spans="1:23" ht="15.7" thickBot="1" x14ac:dyDescent="0.55000000000000004">
      <c r="A15" s="199"/>
      <c r="B15" s="203"/>
      <c r="C15" s="516" t="s">
        <v>327</v>
      </c>
      <c r="D15" s="517"/>
      <c r="E15" s="64" t="s">
        <v>311</v>
      </c>
      <c r="F15" s="518" t="s">
        <v>309</v>
      </c>
      <c r="G15" s="519"/>
      <c r="H15" s="518" t="s">
        <v>310</v>
      </c>
      <c r="I15" s="519"/>
      <c r="J15" s="64" t="s">
        <v>319</v>
      </c>
      <c r="K15" s="518" t="s">
        <v>328</v>
      </c>
      <c r="L15" s="519"/>
      <c r="M15" s="64" t="s">
        <v>319</v>
      </c>
      <c r="N15" s="64" t="s">
        <v>328</v>
      </c>
      <c r="O15" s="65" t="s">
        <v>329</v>
      </c>
      <c r="T15" s="10"/>
      <c r="U15" s="10"/>
      <c r="V15" s="10"/>
      <c r="W15" s="10"/>
    </row>
    <row r="16" spans="1:23" ht="78.5" customHeight="1" thickBot="1" x14ac:dyDescent="0.55000000000000004">
      <c r="A16" s="199"/>
      <c r="B16" s="203"/>
      <c r="C16" s="377" t="s">
        <v>305</v>
      </c>
      <c r="D16" s="66" t="s">
        <v>306</v>
      </c>
      <c r="E16" s="67"/>
      <c r="F16" s="68"/>
      <c r="G16" s="69" t="s">
        <v>317</v>
      </c>
      <c r="H16" s="68"/>
      <c r="I16" s="69" t="s">
        <v>318</v>
      </c>
      <c r="J16" s="70" t="s">
        <v>330</v>
      </c>
      <c r="K16" s="522"/>
      <c r="L16" s="523"/>
      <c r="M16" s="520" t="s">
        <v>367</v>
      </c>
      <c r="N16" s="521"/>
      <c r="O16" s="70">
        <f>SUM(M17:M20)/SUM(J17:J20)</f>
        <v>1.0000834754321279</v>
      </c>
      <c r="T16" s="10"/>
      <c r="U16" s="10"/>
      <c r="V16" s="10"/>
      <c r="W16" s="10"/>
    </row>
    <row r="17" spans="1:23" ht="18.350000000000001" thickBot="1" x14ac:dyDescent="0.75">
      <c r="A17" s="200" t="s">
        <v>206</v>
      </c>
      <c r="B17" s="204" t="s">
        <v>373</v>
      </c>
      <c r="C17" s="378">
        <f>'Petrie &amp; Dash Plateau Survey'!N70</f>
        <v>-9724.7722140933001</v>
      </c>
      <c r="D17" s="358">
        <f>'Petrie &amp; Dash Plateau Survey'!M70</f>
        <v>-6840.1494464636144</v>
      </c>
      <c r="E17" s="359" t="s">
        <v>50</v>
      </c>
      <c r="F17" s="360" t="s">
        <v>463</v>
      </c>
      <c r="G17" s="361">
        <f>C17-C20</f>
        <v>8.7988728965283372</v>
      </c>
      <c r="H17" s="360" t="s">
        <v>331</v>
      </c>
      <c r="I17" s="361">
        <f>D20-D17</f>
        <v>-9068.6156377048301</v>
      </c>
      <c r="J17" s="362">
        <f>(G17^2+I17^2)^0.5</f>
        <v>9068.6199062806045</v>
      </c>
      <c r="K17" s="363" t="str">
        <f>IF(DEGREES(ATAN(I17/G17))&lt;0,"-","+")</f>
        <v>-</v>
      </c>
      <c r="L17" s="364">
        <f>ABS(DEGREES(ATAN(I17/G17)))/24</f>
        <v>3.747683686686655</v>
      </c>
      <c r="M17" s="365">
        <v>9069.4</v>
      </c>
      <c r="N17" s="366" t="s">
        <v>323</v>
      </c>
      <c r="O17" s="367">
        <f>J17*$O$16</f>
        <v>9069.3769132460857</v>
      </c>
      <c r="P17" s="531" t="s">
        <v>762</v>
      </c>
      <c r="Q17" s="71"/>
      <c r="R17" s="71"/>
      <c r="S17" s="71"/>
      <c r="T17" s="31" t="s">
        <v>414</v>
      </c>
      <c r="U17" s="81"/>
      <c r="V17" s="81"/>
      <c r="W17" s="82"/>
    </row>
    <row r="18" spans="1:23" ht="18.350000000000001" thickBot="1" x14ac:dyDescent="0.75">
      <c r="A18" s="200" t="s">
        <v>209</v>
      </c>
      <c r="B18" s="204" t="s">
        <v>374</v>
      </c>
      <c r="C18" s="379">
        <f>'Petrie &amp; Dash Plateau Survey'!N71</f>
        <v>-18791.716743722998</v>
      </c>
      <c r="D18" s="342">
        <f>'Petrie &amp; Dash Plateau Survey'!M71</f>
        <v>-6829.7284650857837</v>
      </c>
      <c r="E18" s="343" t="s">
        <v>19</v>
      </c>
      <c r="F18" s="344" t="s">
        <v>332</v>
      </c>
      <c r="G18" s="345">
        <f>C17-C18</f>
        <v>9066.9445296296981</v>
      </c>
      <c r="H18" s="344" t="s">
        <v>333</v>
      </c>
      <c r="I18" s="345">
        <f>D17-D18</f>
        <v>-10.420981377830685</v>
      </c>
      <c r="J18" s="346">
        <f>(G18^2+I18^2)^0.5</f>
        <v>9066.9505182412231</v>
      </c>
      <c r="K18" s="347" t="str">
        <f>IF(DEGREES(ATAN(I18/G18))&lt;0,"-","+")</f>
        <v>-</v>
      </c>
      <c r="L18" s="348">
        <f>ABS(DEGREES(ATAN(G18/I18)))/24</f>
        <v>3.7472561595103593</v>
      </c>
      <c r="M18" s="349">
        <v>9067.7000000000007</v>
      </c>
      <c r="N18" s="350" t="s">
        <v>324</v>
      </c>
      <c r="O18" s="267">
        <f>J18*$O$16</f>
        <v>9067.7073858538151</v>
      </c>
      <c r="P18" s="532"/>
      <c r="Q18" s="527" t="s">
        <v>364</v>
      </c>
      <c r="R18" s="528"/>
      <c r="S18" s="35" t="s">
        <v>368</v>
      </c>
      <c r="T18" s="32">
        <f>C41</f>
        <v>-11369.272449143316</v>
      </c>
      <c r="U18" s="10"/>
      <c r="V18" s="10"/>
      <c r="W18" s="74"/>
    </row>
    <row r="19" spans="1:23" ht="18.45" customHeight="1" thickBot="1" x14ac:dyDescent="0.75">
      <c r="A19" s="270" t="s">
        <v>212</v>
      </c>
      <c r="B19" s="271" t="s">
        <v>375</v>
      </c>
      <c r="C19" s="379">
        <f>'Petrie &amp; Dash Plateau Survey'!N72</f>
        <v>-18801.428087221993</v>
      </c>
      <c r="D19" s="342">
        <f>'Petrie &amp; Dash Plateau Survey'!M72</f>
        <v>-15898.462152230921</v>
      </c>
      <c r="E19" s="343" t="s">
        <v>70</v>
      </c>
      <c r="F19" s="344" t="s">
        <v>334</v>
      </c>
      <c r="G19" s="345">
        <f>C18-C19</f>
        <v>9.7113434989951202</v>
      </c>
      <c r="H19" s="344" t="s">
        <v>464</v>
      </c>
      <c r="I19" s="345">
        <f>D19-D18</f>
        <v>-9068.7336871451371</v>
      </c>
      <c r="J19" s="346">
        <f>(G19^2+I19^2)^0.5</f>
        <v>9068.7388868879443</v>
      </c>
      <c r="K19" s="347" t="str">
        <f>IF(DEGREES(ATAN(I19/G19))&lt;0,"-","+")</f>
        <v>-</v>
      </c>
      <c r="L19" s="348">
        <f>ABS(DEGREES(ATAN(I19/G19)))/24</f>
        <v>3.7474435112148314</v>
      </c>
      <c r="M19" s="349">
        <v>9069.5</v>
      </c>
      <c r="N19" s="350" t="s">
        <v>325</v>
      </c>
      <c r="O19" s="267">
        <f>J19*$O$16</f>
        <v>9069.4959037853823</v>
      </c>
      <c r="Q19" s="20" t="s">
        <v>365</v>
      </c>
      <c r="R19" s="21" t="s">
        <v>366</v>
      </c>
      <c r="S19" s="36" t="s">
        <v>475</v>
      </c>
      <c r="T19" s="33">
        <f>D41</f>
        <v>-14262.873223135224</v>
      </c>
      <c r="U19" s="10"/>
      <c r="V19" s="10"/>
      <c r="W19" s="74"/>
    </row>
    <row r="20" spans="1:23" ht="18" x14ac:dyDescent="0.7">
      <c r="A20" s="415" t="s">
        <v>215</v>
      </c>
      <c r="B20" s="411" t="s">
        <v>376</v>
      </c>
      <c r="C20" s="379">
        <f>'Petrie &amp; Dash Plateau Survey'!N73</f>
        <v>-9733.5710869898285</v>
      </c>
      <c r="D20" s="342">
        <f>'Petrie &amp; Dash Plateau Survey'!M73</f>
        <v>-15908.765084168444</v>
      </c>
      <c r="E20" s="343" t="s">
        <v>86</v>
      </c>
      <c r="F20" s="344" t="s">
        <v>469</v>
      </c>
      <c r="G20" s="345">
        <f>C20-C19</f>
        <v>9067.8570002321649</v>
      </c>
      <c r="H20" s="344" t="s">
        <v>465</v>
      </c>
      <c r="I20" s="345">
        <f>D20-D19</f>
        <v>-10.302931937523681</v>
      </c>
      <c r="J20" s="346">
        <f>(G20^2+I20^2)^0.5</f>
        <v>9067.8628533445517</v>
      </c>
      <c r="K20" s="347" t="str">
        <f>IF(DEGREES(ATAN(I20/G20))&lt;0,"-","+")</f>
        <v>-</v>
      </c>
      <c r="L20" s="348">
        <f>ABS(DEGREES(ATAN(G20/I20)))/24</f>
        <v>3.7472875148331082</v>
      </c>
      <c r="M20" s="349">
        <v>9068.6</v>
      </c>
      <c r="N20" s="350" t="s">
        <v>326</v>
      </c>
      <c r="O20" s="267">
        <f>J20*$O$16</f>
        <v>9068.6197971147121</v>
      </c>
      <c r="P20" s="4" t="s">
        <v>363</v>
      </c>
      <c r="Q20" s="15">
        <f>(D18-D20)/(C18-C20)</f>
        <v>-1.0023063177764162</v>
      </c>
      <c r="R20" s="9">
        <f>D18-Q20*C18</f>
        <v>-25664.784879184208</v>
      </c>
      <c r="S20" s="8">
        <f>Q20*C18+R20</f>
        <v>-6829.7284650857837</v>
      </c>
      <c r="T20" s="10">
        <f>(R21-R20)/(Q20-Q21)</f>
        <v>-14262.842031368893</v>
      </c>
      <c r="U20" s="10"/>
      <c r="V20" s="10">
        <f>Q20*C20+R20</f>
        <v>-15908.765084168444</v>
      </c>
      <c r="W20" s="74">
        <f>Q20*C18+R20</f>
        <v>-6829.7284650857837</v>
      </c>
    </row>
    <row r="21" spans="1:23" ht="15.7" thickBot="1" x14ac:dyDescent="0.55000000000000004">
      <c r="A21" s="199"/>
      <c r="B21" s="375"/>
      <c r="C21" s="379"/>
      <c r="D21" s="342"/>
      <c r="E21" s="343"/>
      <c r="F21" s="344"/>
      <c r="G21" s="345"/>
      <c r="H21" s="344"/>
      <c r="I21" s="345"/>
      <c r="J21" s="351">
        <f>AVERAGE(J17:J20)</f>
        <v>9068.0430411885809</v>
      </c>
      <c r="K21" s="347"/>
      <c r="L21" s="352">
        <f>AVERAGE(L17:L20)</f>
        <v>3.7474177180612385</v>
      </c>
      <c r="M21" s="351">
        <f>AVERAGE(M17:M20)</f>
        <v>9068.7999999999993</v>
      </c>
      <c r="N21" s="353"/>
      <c r="O21" s="268">
        <f>AVERAGE(O17:O20)</f>
        <v>9068.7999999999993</v>
      </c>
      <c r="P21" s="29" t="s">
        <v>362</v>
      </c>
      <c r="Q21" s="75">
        <f>(D19-D17)/(C19-C17)</f>
        <v>0.99797908308767203</v>
      </c>
      <c r="R21" s="76">
        <f>D19-Q21*C19</f>
        <v>2864.9698109936871</v>
      </c>
      <c r="S21" s="30">
        <f>Q21*C19+R21</f>
        <v>-15898.462152230921</v>
      </c>
      <c r="T21" s="77">
        <f>Q21*T20+R21</f>
        <v>-11369.04820169615</v>
      </c>
      <c r="U21" s="77">
        <f>Q20*T20+R20</f>
        <v>-11369.048201696152</v>
      </c>
      <c r="V21" s="77">
        <f>Q21*C19+R21</f>
        <v>-15898.462152230921</v>
      </c>
      <c r="W21" s="78">
        <f>Q21*C17+R21</f>
        <v>-6840.1494464636144</v>
      </c>
    </row>
    <row r="22" spans="1:23" ht="18.350000000000001" thickBot="1" x14ac:dyDescent="0.75">
      <c r="A22" s="199" t="s">
        <v>221</v>
      </c>
      <c r="B22" s="411" t="s">
        <v>378</v>
      </c>
      <c r="C22" s="379">
        <f>'Petrie &amp; Dash Plateau Survey'!M75</f>
        <v>-20286.022317392708</v>
      </c>
      <c r="D22" s="342">
        <f>'Petrie &amp; Dash Plateau Survey'!N75</f>
        <v>-23968.62237406048</v>
      </c>
      <c r="E22" s="343" t="s">
        <v>50</v>
      </c>
      <c r="F22" s="344" t="s">
        <v>468</v>
      </c>
      <c r="G22" s="345">
        <f>C22-C25</f>
        <v>8471.915196706479</v>
      </c>
      <c r="H22" s="344" t="s">
        <v>335</v>
      </c>
      <c r="I22" s="345">
        <f>D25-D22</f>
        <v>-13.591916454748571</v>
      </c>
      <c r="J22" s="345">
        <f>(G22^2+I22^2)^0.5</f>
        <v>8471.9260997944912</v>
      </c>
      <c r="K22" s="347" t="str">
        <f>IF(DEGREES(ATAN(I22/G22))&lt;0,"-","+")</f>
        <v>-</v>
      </c>
      <c r="L22" s="348">
        <f>ABS(DEGREES(ATAN(I22/G22)))/24</f>
        <v>3.830100013353563E-3</v>
      </c>
      <c r="M22" s="345">
        <v>8471.9</v>
      </c>
      <c r="N22" s="353" t="s">
        <v>312</v>
      </c>
      <c r="O22" s="269"/>
      <c r="P22" s="531" t="s">
        <v>763</v>
      </c>
      <c r="Q22" s="71"/>
      <c r="R22" s="71"/>
      <c r="S22" s="71"/>
      <c r="T22" s="31" t="s">
        <v>414</v>
      </c>
      <c r="U22" s="81"/>
      <c r="V22" s="81"/>
      <c r="W22" s="82"/>
    </row>
    <row r="23" spans="1:23" ht="18.350000000000001" thickBot="1" x14ac:dyDescent="0.75">
      <c r="A23" s="199" t="s">
        <v>224</v>
      </c>
      <c r="B23" s="411" t="s">
        <v>379</v>
      </c>
      <c r="C23" s="379">
        <f>'Petrie &amp; Dash Plateau Survey'!M76</f>
        <v>-20270.307950096467</v>
      </c>
      <c r="D23" s="342">
        <f>'Petrie &amp; Dash Plateau Survey'!N76</f>
        <v>-32443.797300894119</v>
      </c>
      <c r="E23" s="343" t="s">
        <v>19</v>
      </c>
      <c r="F23" s="344" t="s">
        <v>336</v>
      </c>
      <c r="G23" s="345">
        <f>C22-C23</f>
        <v>-15.714367296241107</v>
      </c>
      <c r="H23" s="344" t="s">
        <v>337</v>
      </c>
      <c r="I23" s="345">
        <f>D22-D23</f>
        <v>8475.1749268336389</v>
      </c>
      <c r="J23" s="345">
        <f>(G23^2+I23^2)^0.5</f>
        <v>8475.1894953310093</v>
      </c>
      <c r="K23" s="347" t="str">
        <f>IF(DEGREES(ATAN(I23/G23))&lt;0,"-","+")</f>
        <v>-</v>
      </c>
      <c r="L23" s="348">
        <f>ABS(DEGREES(ATAN(G23/I23)))/24</f>
        <v>4.4264862759466122E-3</v>
      </c>
      <c r="M23" s="345">
        <v>8475.2000000000007</v>
      </c>
      <c r="N23" s="354" t="s">
        <v>313</v>
      </c>
      <c r="O23" s="269"/>
      <c r="P23" s="532"/>
      <c r="Q23" s="527" t="s">
        <v>364</v>
      </c>
      <c r="R23" s="528"/>
      <c r="S23" s="35" t="s">
        <v>368</v>
      </c>
      <c r="T23" s="32">
        <f>C42</f>
        <v>-24515.363812730302</v>
      </c>
      <c r="U23" s="10"/>
      <c r="V23" s="10"/>
      <c r="W23" s="74"/>
    </row>
    <row r="24" spans="1:23" ht="18.45" customHeight="1" thickBot="1" x14ac:dyDescent="0.75">
      <c r="A24" s="199" t="s">
        <v>227</v>
      </c>
      <c r="B24" s="411" t="s">
        <v>365</v>
      </c>
      <c r="C24" s="379">
        <f>'Petrie &amp; Dash Plateau Survey'!M77</f>
        <v>-28747.197418293272</v>
      </c>
      <c r="D24" s="342">
        <f>'Petrie &amp; Dash Plateau Survey'!N77</f>
        <v>-32457.758297516855</v>
      </c>
      <c r="E24" s="343" t="s">
        <v>70</v>
      </c>
      <c r="F24" s="344" t="s">
        <v>338</v>
      </c>
      <c r="G24" s="345">
        <f>C23-C24</f>
        <v>8476.889468196805</v>
      </c>
      <c r="H24" s="344" t="s">
        <v>466</v>
      </c>
      <c r="I24" s="345">
        <f>D24-D23</f>
        <v>-13.960996622736275</v>
      </c>
      <c r="J24" s="345">
        <f>(G24^2+I24^2)^0.5</f>
        <v>8476.9009647071271</v>
      </c>
      <c r="K24" s="347" t="str">
        <f>IF(DEGREES(ATAN(I24/G24))&lt;0,"-","+")</f>
        <v>-</v>
      </c>
      <c r="L24" s="348">
        <f>ABS(DEGREES(ATAN(I24/G24)))/24</f>
        <v>3.9317953047983195E-3</v>
      </c>
      <c r="M24" s="345">
        <v>8476.9</v>
      </c>
      <c r="N24" s="353" t="s">
        <v>314</v>
      </c>
      <c r="O24" s="269"/>
      <c r="Q24" s="20" t="s">
        <v>365</v>
      </c>
      <c r="R24" s="21" t="s">
        <v>366</v>
      </c>
      <c r="S24" s="36" t="s">
        <v>475</v>
      </c>
      <c r="T24" s="33">
        <f>D42</f>
        <v>-28213.095471522858</v>
      </c>
      <c r="U24" s="10"/>
      <c r="V24" s="10"/>
      <c r="W24" s="74"/>
    </row>
    <row r="25" spans="1:23" ht="18" x14ac:dyDescent="0.7">
      <c r="A25" s="199" t="s">
        <v>230</v>
      </c>
      <c r="B25" s="411" t="s">
        <v>380</v>
      </c>
      <c r="C25" s="379">
        <f>'Petrie &amp; Dash Plateau Survey'!M78</f>
        <v>-28757.937514099187</v>
      </c>
      <c r="D25" s="342">
        <f>'Petrie &amp; Dash Plateau Survey'!N78</f>
        <v>-23982.214290515229</v>
      </c>
      <c r="E25" s="343" t="s">
        <v>86</v>
      </c>
      <c r="F25" s="344" t="s">
        <v>470</v>
      </c>
      <c r="G25" s="345">
        <f>C25-C24</f>
        <v>-10.740095805915189</v>
      </c>
      <c r="H25" s="344" t="s">
        <v>467</v>
      </c>
      <c r="I25" s="345">
        <f>D25-D24</f>
        <v>8475.5440070016266</v>
      </c>
      <c r="J25" s="345">
        <f>(G25^2+I25^2)^0.5</f>
        <v>8475.5508118516464</v>
      </c>
      <c r="K25" s="347" t="str">
        <f>IF(DEGREES(ATAN(I25/G25))&lt;0,"-","+")</f>
        <v>-</v>
      </c>
      <c r="L25" s="348">
        <f>ABS(DEGREES(ATAN(G25/I25)))/24</f>
        <v>3.0251835524364324E-3</v>
      </c>
      <c r="M25" s="355">
        <v>8475.5</v>
      </c>
      <c r="N25" s="353" t="s">
        <v>315</v>
      </c>
      <c r="O25" s="269"/>
      <c r="P25" s="4" t="s">
        <v>363</v>
      </c>
      <c r="Q25" s="15">
        <f>(D23-D25)/(C23-C25)</f>
        <v>-0.99693123345836188</v>
      </c>
      <c r="R25" s="9">
        <f>D23-Q25*C23</f>
        <v>-52651.900408164627</v>
      </c>
      <c r="S25" s="8">
        <f>Q25*C23+R25</f>
        <v>-32443.797300894119</v>
      </c>
      <c r="T25" s="10">
        <f>(R26-R25)/(Q25-Q26)</f>
        <v>-24515.278003198851</v>
      </c>
      <c r="U25" s="10"/>
      <c r="V25" s="10">
        <f>Q25*C25+R25</f>
        <v>-23982.214290515229</v>
      </c>
      <c r="W25" s="74">
        <f>Q25*C23+R25</f>
        <v>-32443.797300894119</v>
      </c>
    </row>
    <row r="26" spans="1:23" ht="15.7" thickBot="1" x14ac:dyDescent="0.55000000000000004">
      <c r="A26" s="199"/>
      <c r="B26" s="375"/>
      <c r="C26" s="379"/>
      <c r="D26" s="342"/>
      <c r="E26" s="343"/>
      <c r="F26" s="344"/>
      <c r="G26" s="345"/>
      <c r="H26" s="344"/>
      <c r="I26" s="342">
        <f>J26/20*0.0254</f>
        <v>10.76394953105159</v>
      </c>
      <c r="J26" s="351">
        <f>AVERAGE(J25:J25)</f>
        <v>8475.5508118516464</v>
      </c>
      <c r="K26" s="347" t="s">
        <v>711</v>
      </c>
      <c r="L26" s="352">
        <f>AVERAGE(L22:L25)</f>
        <v>3.8033912866337317E-3</v>
      </c>
      <c r="M26" s="351">
        <f>AVERAGE(M25:M25)</f>
        <v>8475.5</v>
      </c>
      <c r="N26" s="352"/>
      <c r="O26" s="269"/>
      <c r="P26" s="29" t="s">
        <v>362</v>
      </c>
      <c r="Q26" s="75">
        <f>(D24-D22)/(C24-C22)</f>
        <v>1.0033046027558081</v>
      </c>
      <c r="R26" s="76">
        <f>D24-Q26*C24</f>
        <v>-3615.5628114133324</v>
      </c>
      <c r="S26" s="30">
        <f>Q26*C24+R26</f>
        <v>-32457.758297516855</v>
      </c>
      <c r="T26" s="77">
        <f>Q26*T25+R26</f>
        <v>-28211.854069860958</v>
      </c>
      <c r="U26" s="77">
        <f>Q25*T25+R25</f>
        <v>-28211.85406986095</v>
      </c>
      <c r="V26" s="77">
        <f>Q26*C24+R26</f>
        <v>-32457.758297516855</v>
      </c>
      <c r="W26" s="78">
        <f>Q26*C22+R26</f>
        <v>-23968.62237406048</v>
      </c>
    </row>
    <row r="27" spans="1:23" ht="18.350000000000001" thickBot="1" x14ac:dyDescent="0.75">
      <c r="A27" s="199" t="s">
        <v>236</v>
      </c>
      <c r="B27" s="411" t="s">
        <v>382</v>
      </c>
      <c r="C27" s="379">
        <f>'Petrie &amp; Dash Plateau Survey'!M80</f>
        <v>-31857.556235317872</v>
      </c>
      <c r="D27" s="342">
        <f>'Petrie &amp; Dash Plateau Survey'!N80</f>
        <v>-41331.376253042508</v>
      </c>
      <c r="E27" s="343" t="s">
        <v>50</v>
      </c>
      <c r="F27" s="344" t="s">
        <v>471</v>
      </c>
      <c r="G27" s="345">
        <f>C27-C30</f>
        <v>4157.9031577211172</v>
      </c>
      <c r="H27" s="344" t="s">
        <v>339</v>
      </c>
      <c r="I27" s="345">
        <f>D30-D27</f>
        <v>20.413387517633964</v>
      </c>
      <c r="J27" s="345">
        <f>(G27^2+I27^2)^0.5</f>
        <v>4157.9532675797573</v>
      </c>
      <c r="K27" s="347" t="str">
        <f>IF(DEGREES(ATAN(I27/G27))&lt;0,"-","+")</f>
        <v>+</v>
      </c>
      <c r="L27" s="348"/>
      <c r="M27" s="345"/>
      <c r="N27" s="356" t="s">
        <v>320</v>
      </c>
      <c r="O27" s="269"/>
      <c r="P27" s="531" t="s">
        <v>764</v>
      </c>
      <c r="Q27" s="79"/>
      <c r="R27" s="80"/>
      <c r="S27" s="83"/>
      <c r="T27" s="31" t="s">
        <v>414</v>
      </c>
      <c r="U27" s="81"/>
      <c r="V27" s="81"/>
      <c r="W27" s="82"/>
    </row>
    <row r="28" spans="1:23" ht="18.350000000000001" thickBot="1" x14ac:dyDescent="0.75">
      <c r="A28" s="199" t="s">
        <v>239</v>
      </c>
      <c r="B28" s="411" t="s">
        <v>370</v>
      </c>
      <c r="C28" s="379">
        <f>'Petrie &amp; Dash Plateau Survey'!M81</f>
        <v>-31872.71855435424</v>
      </c>
      <c r="D28" s="342">
        <f>'Petrie &amp; Dash Plateau Survey'!N81</f>
        <v>-45480.567208212393</v>
      </c>
      <c r="E28" s="343" t="s">
        <v>19</v>
      </c>
      <c r="F28" s="344" t="s">
        <v>340</v>
      </c>
      <c r="G28" s="345">
        <f>C27-C28</f>
        <v>15.16231903636799</v>
      </c>
      <c r="H28" s="344" t="s">
        <v>341</v>
      </c>
      <c r="I28" s="345">
        <f>D27-D28</f>
        <v>4149.1909551698845</v>
      </c>
      <c r="J28" s="345">
        <f>(G28^2+I28^2)^0.5</f>
        <v>4149.2186587816914</v>
      </c>
      <c r="K28" s="347" t="str">
        <f>IF(DEGREES(ATAN(I28/G28))&lt;0,"-","+")</f>
        <v>+</v>
      </c>
      <c r="L28" s="348">
        <f>ABS(DEGREES(ATAN(G28/I28)))/24</f>
        <v>8.7239198241342315E-3</v>
      </c>
      <c r="M28" s="345">
        <v>4149.2</v>
      </c>
      <c r="N28" s="356" t="s">
        <v>321</v>
      </c>
      <c r="O28" s="269"/>
      <c r="P28" s="532"/>
      <c r="Q28" s="527" t="s">
        <v>364</v>
      </c>
      <c r="R28" s="528"/>
      <c r="S28" s="84" t="s">
        <v>368</v>
      </c>
      <c r="T28" s="32">
        <f>C43</f>
        <v>-33944.064955851842</v>
      </c>
      <c r="U28" s="10"/>
      <c r="V28" s="10"/>
      <c r="W28" s="74"/>
    </row>
    <row r="29" spans="1:23" ht="18.45" customHeight="1" thickBot="1" x14ac:dyDescent="0.75">
      <c r="A29" s="199" t="s">
        <v>242</v>
      </c>
      <c r="B29" s="412" t="s">
        <v>383</v>
      </c>
      <c r="C29" s="379">
        <f>'Petrie &amp; Dash Plateau Survey'!M82</f>
        <v>-36030.530829143885</v>
      </c>
      <c r="D29" s="342">
        <f>'Petrie &amp; Dash Plateau Survey'!N82</f>
        <v>-45464.712000816638</v>
      </c>
      <c r="E29" s="343" t="s">
        <v>70</v>
      </c>
      <c r="F29" s="344" t="s">
        <v>342</v>
      </c>
      <c r="G29" s="345">
        <f>C28-C29</f>
        <v>4157.812274789645</v>
      </c>
      <c r="H29" s="344" t="s">
        <v>473</v>
      </c>
      <c r="I29" s="345">
        <f>D29-D28</f>
        <v>15.855207395754405</v>
      </c>
      <c r="J29" s="345">
        <f>(G29^2+I29^2)^0.5</f>
        <v>4157.8425054339186</v>
      </c>
      <c r="K29" s="347" t="str">
        <f>IF(DEGREES(ATAN(I29/G29))&lt;0,"-","+")</f>
        <v>+</v>
      </c>
      <c r="L29" s="348">
        <f>ABS(DEGREES(ATAN(I29/G29)))/24</f>
        <v>9.1036664204729462E-3</v>
      </c>
      <c r="M29" s="345">
        <v>4157.8</v>
      </c>
      <c r="N29" s="356" t="s">
        <v>322</v>
      </c>
      <c r="O29" s="269"/>
      <c r="Q29" s="20" t="s">
        <v>365</v>
      </c>
      <c r="R29" s="21" t="s">
        <v>366</v>
      </c>
      <c r="S29" s="36" t="s">
        <v>475</v>
      </c>
      <c r="T29" s="33">
        <f>D43</f>
        <v>-43396.905825519156</v>
      </c>
      <c r="U29" s="10"/>
      <c r="V29" s="10"/>
      <c r="W29" s="74"/>
    </row>
    <row r="30" spans="1:23" ht="18" x14ac:dyDescent="0.7">
      <c r="A30" s="199" t="s">
        <v>245</v>
      </c>
      <c r="B30" s="411" t="s">
        <v>384</v>
      </c>
      <c r="C30" s="379">
        <f>'Petrie &amp; Dash Plateau Survey'!M83</f>
        <v>-36015.459393038989</v>
      </c>
      <c r="D30" s="342">
        <f>'Petrie &amp; Dash Plateau Survey'!N83</f>
        <v>-41310.962865524874</v>
      </c>
      <c r="E30" s="343" t="s">
        <v>86</v>
      </c>
      <c r="F30" s="344" t="s">
        <v>472</v>
      </c>
      <c r="G30" s="345">
        <f>C30-C29</f>
        <v>15.071436104895838</v>
      </c>
      <c r="H30" s="344" t="s">
        <v>474</v>
      </c>
      <c r="I30" s="345">
        <f>D30-D29</f>
        <v>4153.7491352917641</v>
      </c>
      <c r="J30" s="345">
        <f>(G30^2+I30^2)^0.5</f>
        <v>4153.7764777517023</v>
      </c>
      <c r="K30" s="347" t="str">
        <f>IF(DEGREES(ATAN(I30/G30))&lt;0,"-","+")</f>
        <v>+</v>
      </c>
      <c r="L30" s="348">
        <f>ABS(DEGREES(ATAN(G30/I30)))/24</f>
        <v>8.6621132539022334E-3</v>
      </c>
      <c r="M30" s="355">
        <v>4153.8999999999996</v>
      </c>
      <c r="N30" s="357"/>
      <c r="O30" s="269"/>
      <c r="P30" s="4" t="s">
        <v>363</v>
      </c>
      <c r="Q30" s="15">
        <f>(D28-D30)/(C28-C30)</f>
        <v>-1.0064844761110614</v>
      </c>
      <c r="R30" s="9">
        <f>D28-Q30*C28</f>
        <v>-77559.963644626929</v>
      </c>
      <c r="S30" s="8">
        <f>Q30*C28+R30</f>
        <v>-45480.567208212393</v>
      </c>
      <c r="T30" s="10">
        <f>(R31-R30)/(Q30-Q31)</f>
        <v>-33942.92516963205</v>
      </c>
      <c r="U30" s="10"/>
      <c r="V30" s="10">
        <f>Q30*C30+R30</f>
        <v>-41310.962865524874</v>
      </c>
      <c r="W30" s="74">
        <f>Q30*C28+R30</f>
        <v>-45480.567208212393</v>
      </c>
    </row>
    <row r="31" spans="1:23" ht="15.7" thickBot="1" x14ac:dyDescent="0.55000000000000004">
      <c r="A31" s="376"/>
      <c r="B31" s="413"/>
      <c r="C31" s="380"/>
      <c r="D31" s="368"/>
      <c r="E31" s="369"/>
      <c r="F31" s="370"/>
      <c r="G31" s="369"/>
      <c r="H31" s="370"/>
      <c r="I31" s="371"/>
      <c r="J31" s="372">
        <f>AVERAGE(J30:J30)</f>
        <v>4153.7764777517023</v>
      </c>
      <c r="K31" s="373" t="s">
        <v>712</v>
      </c>
      <c r="L31" s="382">
        <f>AVERAGE(L27:L30)</f>
        <v>8.8298998328364704E-3</v>
      </c>
      <c r="M31" s="372">
        <f>AVERAGE(M30:M30)</f>
        <v>4153.8999999999996</v>
      </c>
      <c r="N31" s="369"/>
      <c r="O31" s="374"/>
      <c r="P31" s="29" t="s">
        <v>362</v>
      </c>
      <c r="Q31" s="75">
        <f>(D29-D27)/(C29-C27)</f>
        <v>0.99050105742063965</v>
      </c>
      <c r="R31" s="76">
        <f>D29-Q31*C29</f>
        <v>-9776.4331151226652</v>
      </c>
      <c r="S31" s="30">
        <f>Q31*C29+R31</f>
        <v>-45464.712000816638</v>
      </c>
      <c r="T31" s="77">
        <f>Q31*T30+R31</f>
        <v>-43396.936387592854</v>
      </c>
      <c r="U31" s="77">
        <f>Q30*T30+R30</f>
        <v>-43396.936387592854</v>
      </c>
      <c r="V31" s="77">
        <f>Q31*C29+R31</f>
        <v>-45464.712000816638</v>
      </c>
      <c r="W31" s="78">
        <f>Q31*C27+R31</f>
        <v>-41331.376253042508</v>
      </c>
    </row>
    <row r="32" spans="1:23" ht="15.7" thickBot="1" x14ac:dyDescent="0.55000000000000004">
      <c r="B32" s="414"/>
      <c r="C32" s="339"/>
      <c r="D32" s="8"/>
      <c r="F32" s="10"/>
      <c r="H32" s="10"/>
      <c r="J32" s="407"/>
      <c r="K32" s="408"/>
      <c r="L32" s="409"/>
      <c r="M32" s="407"/>
      <c r="Q32" s="15"/>
      <c r="R32" s="9"/>
      <c r="S32" s="8"/>
      <c r="T32" s="10"/>
      <c r="U32" s="10"/>
      <c r="V32" s="10"/>
      <c r="W32" s="10"/>
    </row>
    <row r="33" spans="1:24" ht="26" thickBot="1" x14ac:dyDescent="0.55000000000000004">
      <c r="A33" s="421" t="s">
        <v>765</v>
      </c>
      <c r="B33" s="422"/>
      <c r="C33" s="425" t="s">
        <v>766</v>
      </c>
      <c r="D33" s="426" t="s">
        <v>767</v>
      </c>
      <c r="E33" s="423"/>
      <c r="F33" s="424"/>
      <c r="G33" s="427" t="s">
        <v>317</v>
      </c>
      <c r="H33" s="428"/>
      <c r="I33" s="427" t="s">
        <v>318</v>
      </c>
      <c r="J33" s="420" t="s">
        <v>768</v>
      </c>
      <c r="K33" s="4"/>
      <c r="L33" s="4"/>
      <c r="M33" s="9"/>
      <c r="N33" s="8"/>
      <c r="O33" s="10"/>
      <c r="P33" s="10"/>
      <c r="Q33" s="10"/>
      <c r="R33" s="10"/>
    </row>
    <row r="34" spans="1:24" ht="18" x14ac:dyDescent="0.7">
      <c r="A34" s="418" t="s">
        <v>206</v>
      </c>
      <c r="B34" s="416" t="s">
        <v>373</v>
      </c>
      <c r="C34" s="385">
        <f>'Petrie &amp; Dash Plateau Survey'!R70</f>
        <v>100115.29722267391</v>
      </c>
      <c r="D34" s="386">
        <f>'Petrie &amp; Dash Plateau Survey'!S70</f>
        <v>500115.04945209005</v>
      </c>
      <c r="E34" s="387" t="s">
        <v>50</v>
      </c>
      <c r="F34" s="388" t="s">
        <v>463</v>
      </c>
      <c r="G34" s="389">
        <f>C34-C37</f>
        <v>0.22353305490105413</v>
      </c>
      <c r="H34" s="388" t="s">
        <v>331</v>
      </c>
      <c r="I34" s="390">
        <f>D37-D34</f>
        <v>-230.38625886355294</v>
      </c>
      <c r="J34" s="391">
        <f>(G34^2+I34^2)^0.5/0.0254</f>
        <v>9070.3294214717571</v>
      </c>
      <c r="K34" s="4"/>
      <c r="L34" s="15"/>
      <c r="N34" s="8"/>
      <c r="O34" s="10"/>
      <c r="P34" s="10"/>
      <c r="Q34" s="10"/>
      <c r="R34" s="10"/>
    </row>
    <row r="35" spans="1:24" ht="18" x14ac:dyDescent="0.7">
      <c r="A35" s="383" t="s">
        <v>209</v>
      </c>
      <c r="B35" s="384" t="s">
        <v>374</v>
      </c>
      <c r="C35" s="392">
        <f>'Petrie &amp; Dash Plateau Survey'!R71</f>
        <v>99884.953417956887</v>
      </c>
      <c r="D35" s="393">
        <f>'Petrie &amp; Dash Plateau Survey'!S71</f>
        <v>500115.31419446727</v>
      </c>
      <c r="E35" s="394" t="s">
        <v>19</v>
      </c>
      <c r="F35" s="395" t="s">
        <v>332</v>
      </c>
      <c r="G35" s="396">
        <f>C34-C35</f>
        <v>230.34380471702025</v>
      </c>
      <c r="H35" s="395" t="s">
        <v>333</v>
      </c>
      <c r="I35" s="397">
        <f>D34-D35</f>
        <v>-0.26474237721413374</v>
      </c>
      <c r="J35" s="398">
        <f t="shared" ref="J35:J37" si="1">(G35^2+I35^2)^0.5/0.0254</f>
        <v>9068.6597187367624</v>
      </c>
      <c r="K35" s="4"/>
      <c r="L35" s="15"/>
      <c r="M35" s="9"/>
      <c r="N35" s="8"/>
      <c r="O35" s="10"/>
      <c r="P35" s="10"/>
      <c r="Q35" s="10"/>
      <c r="R35" s="10"/>
    </row>
    <row r="36" spans="1:24" ht="18" x14ac:dyDescent="0.7">
      <c r="A36" s="399" t="s">
        <v>212</v>
      </c>
      <c r="B36" s="400" t="s">
        <v>375</v>
      </c>
      <c r="C36" s="392">
        <f>'Petrie &amp; Dash Plateau Survey'!R72</f>
        <v>99884.706703779666</v>
      </c>
      <c r="D36" s="393">
        <f>'Petrie &amp; Dash Plateau Survey'!S72</f>
        <v>499884.92493658268</v>
      </c>
      <c r="E36" s="394" t="s">
        <v>70</v>
      </c>
      <c r="F36" s="395" t="s">
        <v>334</v>
      </c>
      <c r="G36" s="396">
        <f>C35-C36</f>
        <v>0.24671417722129263</v>
      </c>
      <c r="H36" s="395" t="s">
        <v>464</v>
      </c>
      <c r="I36" s="397">
        <f>D36-D35</f>
        <v>-230.38925788458437</v>
      </c>
      <c r="J36" s="398">
        <f t="shared" si="1"/>
        <v>9070.4484245067033</v>
      </c>
      <c r="K36" s="4"/>
      <c r="L36" s="15"/>
      <c r="M36" s="9"/>
      <c r="N36" s="8"/>
      <c r="O36" s="10"/>
      <c r="P36" s="10"/>
      <c r="Q36" s="10"/>
      <c r="R36" s="10"/>
    </row>
    <row r="37" spans="1:24" ht="18" x14ac:dyDescent="0.7">
      <c r="A37" s="383" t="s">
        <v>215</v>
      </c>
      <c r="B37" s="384" t="s">
        <v>376</v>
      </c>
      <c r="C37" s="392">
        <f>'Petrie &amp; Dash Plateau Survey'!R73</f>
        <v>100115.07368961901</v>
      </c>
      <c r="D37" s="393">
        <f>'Petrie &amp; Dash Plateau Survey'!S73</f>
        <v>499884.6631932265</v>
      </c>
      <c r="E37" s="394" t="s">
        <v>86</v>
      </c>
      <c r="F37" s="395" t="s">
        <v>469</v>
      </c>
      <c r="G37" s="396">
        <f>C37-C36</f>
        <v>230.36698583934049</v>
      </c>
      <c r="H37" s="395" t="s">
        <v>465</v>
      </c>
      <c r="I37" s="397">
        <f>D37-D36</f>
        <v>-0.26174335618270561</v>
      </c>
      <c r="J37" s="398">
        <f t="shared" si="1"/>
        <v>9069.5722258233436</v>
      </c>
      <c r="K37" s="4"/>
      <c r="L37" s="15"/>
      <c r="M37" s="9"/>
      <c r="N37" s="8"/>
      <c r="O37" s="10"/>
      <c r="P37" s="10"/>
      <c r="Q37" s="10"/>
      <c r="R37" s="10"/>
    </row>
    <row r="38" spans="1:24" ht="15.7" thickBot="1" x14ac:dyDescent="0.55000000000000004">
      <c r="A38" s="419"/>
      <c r="B38" s="417"/>
      <c r="C38" s="401"/>
      <c r="D38" s="402"/>
      <c r="E38" s="403"/>
      <c r="F38" s="404"/>
      <c r="G38" s="403"/>
      <c r="H38" s="404"/>
      <c r="I38" s="405"/>
      <c r="J38" s="406">
        <f>AVERAGE(J34:J37)</f>
        <v>9069.7524476346407</v>
      </c>
      <c r="K38" s="4"/>
      <c r="L38" s="15"/>
      <c r="M38" s="9"/>
      <c r="N38" s="8"/>
      <c r="O38" s="10"/>
      <c r="P38" s="10"/>
      <c r="Q38" s="10"/>
      <c r="R38" s="10"/>
    </row>
    <row r="39" spans="1:24" ht="15.7" thickBot="1" x14ac:dyDescent="0.55000000000000004">
      <c r="C39" s="8"/>
      <c r="D39" s="8"/>
      <c r="F39" s="10"/>
      <c r="H39" s="10"/>
      <c r="J39" s="410"/>
      <c r="K39" s="4"/>
      <c r="L39" s="15"/>
      <c r="M39" s="9"/>
      <c r="N39" s="8"/>
      <c r="O39" s="10"/>
    </row>
    <row r="40" spans="1:24" ht="15.7" thickBot="1" x14ac:dyDescent="0.55000000000000004">
      <c r="A40" s="330" t="s">
        <v>769</v>
      </c>
      <c r="B40" s="336"/>
      <c r="C40" s="377" t="s">
        <v>305</v>
      </c>
      <c r="D40" s="66" t="s">
        <v>306</v>
      </c>
      <c r="E40" s="336" t="s">
        <v>476</v>
      </c>
      <c r="F40" s="336" t="s">
        <v>31</v>
      </c>
      <c r="G40" s="336" t="s">
        <v>82</v>
      </c>
      <c r="H40" s="336" t="s">
        <v>31</v>
      </c>
      <c r="I40" s="336" t="s">
        <v>82</v>
      </c>
      <c r="J40" s="336" t="s">
        <v>477</v>
      </c>
    </row>
    <row r="41" spans="1:24" x14ac:dyDescent="0.5">
      <c r="A41" s="173" t="s">
        <v>218</v>
      </c>
      <c r="B41" s="340" t="s">
        <v>377</v>
      </c>
      <c r="C41" s="334">
        <f>'Petrie &amp; Dash Plateau Survey'!M74</f>
        <v>-11369.272449143316</v>
      </c>
      <c r="D41" s="83">
        <f>'Petrie &amp; Dash Plateau Survey'!N74</f>
        <v>-14262.873223135224</v>
      </c>
      <c r="E41" s="429" t="s">
        <v>478</v>
      </c>
      <c r="F41" s="81">
        <f>C41-C42</f>
        <v>13146.091363586986</v>
      </c>
      <c r="G41" s="81">
        <f>D41-D42</f>
        <v>13950.222248387634</v>
      </c>
      <c r="H41" s="81">
        <v>13165.8</v>
      </c>
      <c r="I41" s="81">
        <v>13931.6</v>
      </c>
      <c r="J41" s="82">
        <f>I41-G41</f>
        <v>-18.62224838763359</v>
      </c>
    </row>
    <row r="42" spans="1:24" x14ac:dyDescent="0.5">
      <c r="A42" s="173" t="s">
        <v>233</v>
      </c>
      <c r="B42" s="340" t="s">
        <v>381</v>
      </c>
      <c r="C42" s="339">
        <f>'Petrie &amp; Dash Plateau Survey'!M79</f>
        <v>-24515.363812730302</v>
      </c>
      <c r="D42" s="8">
        <f>'Petrie &amp; Dash Plateau Survey'!N79</f>
        <v>-28213.095471522858</v>
      </c>
      <c r="E42" s="22" t="s">
        <v>479</v>
      </c>
      <c r="F42" s="10">
        <f>C42-C43</f>
        <v>9428.7011431215396</v>
      </c>
      <c r="G42" s="10">
        <f>D42-D43</f>
        <v>15183.810353996298</v>
      </c>
      <c r="H42" s="10">
        <v>9450.2000000000007</v>
      </c>
      <c r="I42" s="10">
        <v>15170.4</v>
      </c>
      <c r="J42" s="74">
        <f>I42-G42</f>
        <v>-13.410353996297999</v>
      </c>
      <c r="S42" s="252"/>
    </row>
    <row r="43" spans="1:24" ht="15.7" thickBot="1" x14ac:dyDescent="0.55000000000000004">
      <c r="A43" s="174" t="s">
        <v>248</v>
      </c>
      <c r="B43" s="341" t="s">
        <v>385</v>
      </c>
      <c r="C43" s="335">
        <f>'Petrie &amp; Dash Plateau Survey'!M84</f>
        <v>-33944.064955851842</v>
      </c>
      <c r="D43" s="30">
        <f>'Petrie &amp; Dash Plateau Survey'!N84</f>
        <v>-43396.905825519156</v>
      </c>
      <c r="E43" s="381" t="s">
        <v>480</v>
      </c>
      <c r="F43" s="77">
        <f>C41-C43</f>
        <v>22574.792506708523</v>
      </c>
      <c r="G43" s="77">
        <f>D41-D43</f>
        <v>29134.03260238393</v>
      </c>
      <c r="H43" s="77">
        <v>22616</v>
      </c>
      <c r="I43" s="77">
        <v>29102</v>
      </c>
      <c r="J43" s="78">
        <f>I43-G43</f>
        <v>-32.03260238392977</v>
      </c>
      <c r="M43" s="85"/>
      <c r="N43" s="85"/>
      <c r="O43" s="85"/>
      <c r="S43" s="252"/>
    </row>
    <row r="44" spans="1:24" ht="15.7" thickBot="1" x14ac:dyDescent="0.55000000000000004">
      <c r="Q44" s="85"/>
      <c r="R44" s="85"/>
      <c r="S44" s="252"/>
    </row>
    <row r="45" spans="1:24" ht="18" x14ac:dyDescent="0.7">
      <c r="A45" s="226" t="s">
        <v>398</v>
      </c>
      <c r="B45" s="227" t="s">
        <v>648</v>
      </c>
      <c r="C45" s="228" t="s">
        <v>407</v>
      </c>
      <c r="D45" s="229" t="s">
        <v>409</v>
      </c>
      <c r="E45" s="230" t="s">
        <v>399</v>
      </c>
      <c r="F45" s="228" t="s">
        <v>400</v>
      </c>
      <c r="G45" s="228" t="s">
        <v>158</v>
      </c>
      <c r="H45" s="228" t="s">
        <v>415</v>
      </c>
      <c r="I45" s="228" t="s">
        <v>417</v>
      </c>
      <c r="J45" s="227" t="s">
        <v>416</v>
      </c>
      <c r="S45" s="225">
        <f>200/(1+5^0.5)</f>
        <v>61.803398874989483</v>
      </c>
      <c r="T45" s="225"/>
      <c r="U45" s="225"/>
      <c r="V45" s="225"/>
    </row>
    <row r="46" spans="1:24" ht="15.7" thickBot="1" x14ac:dyDescent="0.55000000000000004">
      <c r="A46" s="231"/>
      <c r="B46" s="232" t="s">
        <v>672</v>
      </c>
      <c r="C46" s="233" t="s">
        <v>408</v>
      </c>
      <c r="D46" s="234">
        <v>365.25</v>
      </c>
      <c r="E46" s="235">
        <f>2^0.5</f>
        <v>1.4142135623730951</v>
      </c>
      <c r="F46" s="235">
        <f>3^0.5</f>
        <v>1.7320508075688772</v>
      </c>
      <c r="G46" s="236">
        <f>PI()</f>
        <v>3.1415926535897931</v>
      </c>
      <c r="H46" s="236">
        <f>PI()^0.5</f>
        <v>1.7724538509055159</v>
      </c>
      <c r="I46" s="237">
        <f>365.25/10/PI()^0.5</f>
        <v>20.607024539081799</v>
      </c>
      <c r="J46" s="232">
        <v>20.62</v>
      </c>
      <c r="S46" s="225">
        <f>(1+5^0.5)/2</f>
        <v>1.6180339887498949</v>
      </c>
      <c r="T46" s="225"/>
      <c r="U46" s="225"/>
      <c r="V46" s="225"/>
    </row>
    <row r="47" spans="1:24" x14ac:dyDescent="0.5">
      <c r="A47" s="226"/>
      <c r="B47" s="227"/>
      <c r="C47" s="238"/>
      <c r="D47" s="238"/>
      <c r="E47" s="238"/>
      <c r="F47" s="238"/>
      <c r="G47" s="238"/>
      <c r="H47" s="238"/>
      <c r="I47" s="238"/>
      <c r="J47" s="239"/>
      <c r="L47" s="7" t="s">
        <v>708</v>
      </c>
      <c r="M47" s="7" t="s">
        <v>709</v>
      </c>
      <c r="N47" s="7" t="s">
        <v>710</v>
      </c>
      <c r="S47" s="248" t="s">
        <v>592</v>
      </c>
      <c r="T47" s="248" t="s">
        <v>593</v>
      </c>
      <c r="U47" s="249">
        <f>12*365.25</f>
        <v>4383</v>
      </c>
      <c r="V47" s="250">
        <f>(D48-12)/D48</f>
        <v>-1.9523218606985933</v>
      </c>
    </row>
    <row r="48" spans="1:24" x14ac:dyDescent="0.5">
      <c r="A48" s="240" t="s">
        <v>388</v>
      </c>
      <c r="B48" s="241" t="s">
        <v>423</v>
      </c>
      <c r="C48" s="242">
        <f>C19-C22</f>
        <v>1484.5942301707146</v>
      </c>
      <c r="D48" s="243">
        <f>C48/$D$46</f>
        <v>4.0645974816446673</v>
      </c>
      <c r="E48" s="244">
        <f>D48/$E$46</f>
        <v>2.8741044420647075</v>
      </c>
      <c r="F48" s="242">
        <f>D48/$F$46</f>
        <v>2.3466964501750236</v>
      </c>
      <c r="G48" s="242">
        <f>D48/$G$46</f>
        <v>1.2938015617652363</v>
      </c>
      <c r="H48" s="242">
        <f>D48/$H$46</f>
        <v>2.2932035604583638</v>
      </c>
      <c r="I48" s="242">
        <f>$C48/$I$46</f>
        <v>72.04311458721952</v>
      </c>
      <c r="J48" s="245">
        <f>$C48/$J$46</f>
        <v>71.997780318657348</v>
      </c>
      <c r="K48" s="37"/>
      <c r="L48" s="8">
        <v>4387.5600999999997</v>
      </c>
      <c r="M48" s="8">
        <v>4397.1346000000003</v>
      </c>
      <c r="N48" s="8">
        <f>M48-L48</f>
        <v>9.5745000000006257</v>
      </c>
      <c r="O48" s="266">
        <f>N48/M48</f>
        <v>2.1774407360649422E-3</v>
      </c>
      <c r="S48" s="248" t="s">
        <v>594</v>
      </c>
      <c r="T48" s="248" t="s">
        <v>595</v>
      </c>
      <c r="U48" s="249">
        <f>10*2^0.5*365.25</f>
        <v>5165.4150365677297</v>
      </c>
      <c r="V48" s="250">
        <f>(E49-10)/E49</f>
        <v>0.35993649511500087</v>
      </c>
      <c r="X48" s="4" t="s">
        <v>630</v>
      </c>
    </row>
    <row r="49" spans="1:22" x14ac:dyDescent="0.5">
      <c r="A49" s="240" t="s">
        <v>387</v>
      </c>
      <c r="B49" s="241" t="s">
        <v>422</v>
      </c>
      <c r="C49" s="242">
        <f>D19-D22</f>
        <v>8070.1602218295593</v>
      </c>
      <c r="D49" s="242">
        <f>C49/$D$46</f>
        <v>22.094894515618233</v>
      </c>
      <c r="E49" s="243">
        <f>D49/$E$46</f>
        <v>15.62344974159511</v>
      </c>
      <c r="F49" s="242">
        <f>D49/$F$46</f>
        <v>12.756493296308573</v>
      </c>
      <c r="G49" s="242">
        <f>D49/$G$46</f>
        <v>7.0330233585093005</v>
      </c>
      <c r="H49" s="242">
        <f>D49/$H$46</f>
        <v>12.465709335298255</v>
      </c>
      <c r="I49" s="242">
        <f>$C49/$I$46</f>
        <v>391.62180869558699</v>
      </c>
      <c r="J49" s="245">
        <f>$C49/$J$46</f>
        <v>391.37537448251982</v>
      </c>
      <c r="K49" s="37"/>
      <c r="L49" s="8">
        <v>5167.1943000000001</v>
      </c>
      <c r="M49" s="8">
        <v>5162.3882000000003</v>
      </c>
      <c r="N49" s="8">
        <f t="shared" ref="N49:N58" si="2">M49-L49</f>
        <v>-4.8060999999997875</v>
      </c>
      <c r="O49" s="266">
        <f t="shared" ref="O49:O58" si="3">N49/M49</f>
        <v>-9.3098384193575118E-4</v>
      </c>
      <c r="S49" s="225"/>
      <c r="T49" s="225"/>
      <c r="U49" s="225"/>
      <c r="V49" s="225"/>
    </row>
    <row r="50" spans="1:22" x14ac:dyDescent="0.5">
      <c r="A50" s="240"/>
      <c r="B50" s="241"/>
      <c r="C50" s="242"/>
      <c r="D50" s="242"/>
      <c r="E50" s="242"/>
      <c r="F50" s="242"/>
      <c r="G50" s="242"/>
      <c r="H50" s="242"/>
      <c r="I50" s="242"/>
      <c r="J50" s="245"/>
      <c r="K50" s="37"/>
      <c r="L50" s="8"/>
      <c r="M50" s="8">
        <f>M49/M48</f>
        <v>1.1740346088109288</v>
      </c>
      <c r="N50" s="8"/>
      <c r="O50" s="266"/>
      <c r="S50" s="248" t="s">
        <v>596</v>
      </c>
      <c r="T50" s="248" t="s">
        <v>597</v>
      </c>
      <c r="U50" s="249">
        <f>8.5*365.25</f>
        <v>3104.625</v>
      </c>
      <c r="V50" s="250">
        <f>(D51-8.5)/D51</f>
        <v>1.8434583795336821E-3</v>
      </c>
    </row>
    <row r="51" spans="1:22" x14ac:dyDescent="0.5">
      <c r="A51" s="240" t="s">
        <v>389</v>
      </c>
      <c r="B51" s="241" t="s">
        <v>431</v>
      </c>
      <c r="C51" s="242">
        <f>C24-C27</f>
        <v>3110.3588170246003</v>
      </c>
      <c r="D51" s="244">
        <f>C51/$D$46</f>
        <v>8.5156983354540738</v>
      </c>
      <c r="E51" s="243">
        <f>D51/$E$46</f>
        <v>6.0215080395385705</v>
      </c>
      <c r="F51" s="242">
        <f>D51/$F$46</f>
        <v>4.916540726312058</v>
      </c>
      <c r="G51" s="242">
        <f>D51/$G$46</f>
        <v>2.710630967933882</v>
      </c>
      <c r="H51" s="242">
        <f>D51/$H$46</f>
        <v>4.8044682974981558</v>
      </c>
      <c r="I51" s="242">
        <f>$C51/$I$46</f>
        <v>150.93682307825264</v>
      </c>
      <c r="J51" s="245">
        <f>$C51/$J$46</f>
        <v>150.84184369663436</v>
      </c>
      <c r="K51" s="37"/>
      <c r="L51" s="8">
        <v>3110.3588</v>
      </c>
      <c r="M51" s="8">
        <v>3077.9546</v>
      </c>
      <c r="N51" s="8">
        <f t="shared" si="2"/>
        <v>-32.404199999999946</v>
      </c>
      <c r="O51" s="266">
        <f t="shared" si="3"/>
        <v>-1.0527835595755684E-2</v>
      </c>
      <c r="S51" s="248" t="s">
        <v>598</v>
      </c>
      <c r="T51" s="248" t="s">
        <v>599</v>
      </c>
      <c r="U51" s="249">
        <f>14*3^0.5*365.25</f>
        <v>8856.8418045034541</v>
      </c>
      <c r="V51" s="250">
        <f>(F52-14)/F52</f>
        <v>1.890564942764089E-3</v>
      </c>
    </row>
    <row r="52" spans="1:22" x14ac:dyDescent="0.5">
      <c r="A52" s="240" t="s">
        <v>390</v>
      </c>
      <c r="B52" s="241" t="s">
        <v>432</v>
      </c>
      <c r="C52" s="242">
        <f>D24-D27</f>
        <v>8873.6179555256531</v>
      </c>
      <c r="D52" s="242">
        <f>C52/$D$46</f>
        <v>24.294641904245456</v>
      </c>
      <c r="E52" s="242">
        <f>D52/$E$46</f>
        <v>17.178906036990817</v>
      </c>
      <c r="F52" s="243">
        <f>D52/$F$46</f>
        <v>14.026518043281676</v>
      </c>
      <c r="G52" s="242">
        <f>D52/$G$46</f>
        <v>7.733224699416323</v>
      </c>
      <c r="H52" s="242">
        <f>D52/$H$46</f>
        <v>13.706783898398113</v>
      </c>
      <c r="I52" s="242">
        <f>$C52/$I$46</f>
        <v>430.61131599550379</v>
      </c>
      <c r="J52" s="245">
        <f>$C52/$J$46</f>
        <v>430.34034701870286</v>
      </c>
      <c r="K52" s="37"/>
      <c r="L52" s="8">
        <v>8873.6180000000004</v>
      </c>
      <c r="M52" s="8">
        <v>8868.6080000000002</v>
      </c>
      <c r="N52" s="8">
        <f t="shared" si="2"/>
        <v>-5.0100000000002183</v>
      </c>
      <c r="O52" s="266">
        <f t="shared" si="3"/>
        <v>-5.6491390757153973E-4</v>
      </c>
      <c r="S52" s="225"/>
      <c r="T52" s="225"/>
      <c r="U52" s="225"/>
      <c r="V52" s="225"/>
    </row>
    <row r="53" spans="1:22" x14ac:dyDescent="0.5">
      <c r="A53" s="240"/>
      <c r="B53" s="241"/>
      <c r="C53" s="242"/>
      <c r="D53" s="242"/>
      <c r="E53" s="242"/>
      <c r="F53" s="242"/>
      <c r="G53" s="242"/>
      <c r="H53" s="242"/>
      <c r="I53" s="242"/>
      <c r="J53" s="245"/>
      <c r="K53" s="37"/>
      <c r="L53" s="8"/>
      <c r="M53" s="8">
        <f>M52/M51</f>
        <v>2.8813316479716757</v>
      </c>
      <c r="N53" s="8"/>
      <c r="O53" s="266"/>
      <c r="S53" s="225"/>
      <c r="T53" s="225"/>
      <c r="U53" s="225"/>
      <c r="V53" s="225"/>
    </row>
    <row r="54" spans="1:22" x14ac:dyDescent="0.5">
      <c r="A54" s="240" t="s">
        <v>391</v>
      </c>
      <c r="B54" s="241" t="s">
        <v>433</v>
      </c>
      <c r="C54" s="242">
        <f>C19-C27</f>
        <v>13056.128148095879</v>
      </c>
      <c r="D54" s="242">
        <f>C54/$D$46</f>
        <v>35.745730727161884</v>
      </c>
      <c r="E54" s="242">
        <f>D54/$E$46</f>
        <v>25.276048595644504</v>
      </c>
      <c r="F54" s="242">
        <f>D54/$F$46</f>
        <v>20.637807257706793</v>
      </c>
      <c r="G54" s="242">
        <f>D54/$G$46</f>
        <v>11.378219479319329</v>
      </c>
      <c r="H54" s="242">
        <f>D54/$H$46</f>
        <v>20.167368932567701</v>
      </c>
      <c r="I54" s="242">
        <f>$C54/$I$46</f>
        <v>633.57658080789713</v>
      </c>
      <c r="J54" s="245">
        <f>$C54/$J$46</f>
        <v>633.17789273015899</v>
      </c>
      <c r="K54" s="37"/>
      <c r="L54" s="8">
        <v>15959.093999999999</v>
      </c>
      <c r="M54" s="8">
        <v>15876.834000000001</v>
      </c>
      <c r="N54" s="8">
        <f t="shared" si="2"/>
        <v>-82.259999999998399</v>
      </c>
      <c r="O54" s="266">
        <f t="shared" si="3"/>
        <v>-5.1811337197326867E-3</v>
      </c>
      <c r="S54" s="248" t="s">
        <v>600</v>
      </c>
      <c r="T54" s="248" t="s">
        <v>601</v>
      </c>
      <c r="U54" s="249">
        <f>S45*365.25</f>
        <v>22573.691439089907</v>
      </c>
      <c r="V54" s="250">
        <f>D55/S45-1</f>
        <v>0.12666172342421955</v>
      </c>
    </row>
    <row r="55" spans="1:22" x14ac:dyDescent="0.5">
      <c r="A55" s="240" t="s">
        <v>392</v>
      </c>
      <c r="B55" s="241" t="s">
        <v>434</v>
      </c>
      <c r="C55" s="242">
        <f>D19-D27</f>
        <v>25432.914100811588</v>
      </c>
      <c r="D55" s="243">
        <f>C55/$D$46</f>
        <v>69.631523889970126</v>
      </c>
      <c r="E55" s="242">
        <f>D55/$E$46</f>
        <v>49.236922726950958</v>
      </c>
      <c r="F55" s="242">
        <f>D55/$F$46</f>
        <v>40.201779061958113</v>
      </c>
      <c r="G55" s="242">
        <f>D55/$G$46</f>
        <v>22.164402444220293</v>
      </c>
      <c r="H55" s="242">
        <f>D55/$H$46</f>
        <v>39.285380465277889</v>
      </c>
      <c r="I55" s="242">
        <f>$C55/$I$46</f>
        <v>1234.1866266319698</v>
      </c>
      <c r="J55" s="245">
        <f>$C55/$J$46</f>
        <v>1233.4099951896987</v>
      </c>
      <c r="K55" s="37"/>
      <c r="L55" s="8">
        <v>22529.948199999999</v>
      </c>
      <c r="M55" s="8">
        <v>22513.096600000001</v>
      </c>
      <c r="N55" s="8">
        <f t="shared" si="2"/>
        <v>-16.851599999998143</v>
      </c>
      <c r="O55" s="266">
        <f t="shared" si="3"/>
        <v>-7.4852430562564825E-4</v>
      </c>
      <c r="S55" s="248"/>
      <c r="T55" s="248"/>
      <c r="U55" s="249"/>
      <c r="V55" s="250"/>
    </row>
    <row r="56" spans="1:22" x14ac:dyDescent="0.5">
      <c r="A56" s="240"/>
      <c r="B56" s="241"/>
      <c r="C56" s="242"/>
      <c r="D56" s="242"/>
      <c r="E56" s="242"/>
      <c r="F56" s="242"/>
      <c r="G56" s="242"/>
      <c r="H56" s="242"/>
      <c r="I56" s="242"/>
      <c r="J56" s="245"/>
      <c r="K56" s="37"/>
      <c r="L56" s="8"/>
      <c r="M56" s="8">
        <f>M55/M54</f>
        <v>1.4179840010924092</v>
      </c>
      <c r="N56" s="8"/>
      <c r="O56" s="266"/>
      <c r="S56" s="248" t="s">
        <v>602</v>
      </c>
      <c r="T56" s="248" t="s">
        <v>603</v>
      </c>
      <c r="U56" s="249">
        <f>80*365.25</f>
        <v>29220</v>
      </c>
      <c r="V56" s="250">
        <f>(D57-80)/D57</f>
        <v>-0.11078340022789003</v>
      </c>
    </row>
    <row r="57" spans="1:22" x14ac:dyDescent="0.5">
      <c r="A57" s="240" t="s">
        <v>396</v>
      </c>
      <c r="B57" s="241" t="s">
        <v>435</v>
      </c>
      <c r="C57" s="242">
        <f>C17-C29</f>
        <v>26305.758615050585</v>
      </c>
      <c r="D57" s="243">
        <f>C57/$D$46</f>
        <v>72.021241930323299</v>
      </c>
      <c r="E57" s="244">
        <f>D57/$E$46</f>
        <v>50.926708558408514</v>
      </c>
      <c r="F57" s="242">
        <f>D57/$F$46</f>
        <v>41.581483415843323</v>
      </c>
      <c r="G57" s="242">
        <f>D57/$G$46</f>
        <v>22.925073321656463</v>
      </c>
      <c r="H57" s="242">
        <f>D57/$H$46</f>
        <v>40.633634491261311</v>
      </c>
      <c r="I57" s="242">
        <f>$C57/$I$46</f>
        <v>1276.5432760639935</v>
      </c>
      <c r="J57" s="245">
        <f>$C57/$J$46</f>
        <v>1275.7399910305812</v>
      </c>
      <c r="K57" s="37"/>
      <c r="L57" s="8">
        <v>29190.381399999998</v>
      </c>
      <c r="M57" s="8">
        <v>29060.819100000001</v>
      </c>
      <c r="N57" s="8">
        <f t="shared" si="2"/>
        <v>-129.56229999999778</v>
      </c>
      <c r="O57" s="266">
        <f t="shared" si="3"/>
        <v>-4.4583154918712451E-3</v>
      </c>
      <c r="S57" s="248"/>
      <c r="T57" s="248"/>
      <c r="U57" s="249"/>
      <c r="V57" s="250"/>
    </row>
    <row r="58" spans="1:22" x14ac:dyDescent="0.5">
      <c r="A58" s="240" t="s">
        <v>397</v>
      </c>
      <c r="B58" s="241" t="s">
        <v>436</v>
      </c>
      <c r="C58" s="242">
        <f>D17-D29</f>
        <v>38624.562554353026</v>
      </c>
      <c r="D58" s="242">
        <f>C58/$D$46</f>
        <v>105.74828899206852</v>
      </c>
      <c r="E58" s="242">
        <f>D58/$E$46</f>
        <v>74.775332245166382</v>
      </c>
      <c r="F58" s="244">
        <f>D58/$F$46</f>
        <v>61.053803115913105</v>
      </c>
      <c r="G58" s="242">
        <f>D58/$G$46</f>
        <v>33.66072583319594</v>
      </c>
      <c r="H58" s="242">
        <f>D58/$H$46</f>
        <v>59.662083127322923</v>
      </c>
      <c r="I58" s="242">
        <f>$C58/$I$46</f>
        <v>1874.3396205066124</v>
      </c>
      <c r="J58" s="245">
        <f>$C58/$J$46</f>
        <v>1873.1601626747345</v>
      </c>
      <c r="K58" s="37"/>
      <c r="L58" s="8">
        <v>35739.9398</v>
      </c>
      <c r="M58" s="8">
        <v>35711.9784</v>
      </c>
      <c r="N58" s="8">
        <f t="shared" si="2"/>
        <v>-27.96140000000014</v>
      </c>
      <c r="O58" s="266">
        <f t="shared" si="3"/>
        <v>-7.829697836062798E-4</v>
      </c>
      <c r="S58" s="248"/>
      <c r="T58" s="248"/>
      <c r="U58" s="249"/>
      <c r="V58" s="250"/>
    </row>
    <row r="59" spans="1:22" x14ac:dyDescent="0.5">
      <c r="A59" s="240"/>
      <c r="B59" s="241"/>
      <c r="C59" s="242">
        <f>C57/'Petrie &amp; Dash Plateau Survey'!R7</f>
        <v>26310.717483589407</v>
      </c>
      <c r="D59" s="242">
        <f>C58/'Petrie &amp; Dash Plateau Survey'!R7</f>
        <v>38631.843626565365</v>
      </c>
      <c r="E59" s="242">
        <f>D59/$E$46</f>
        <v>27316.838598082675</v>
      </c>
      <c r="F59" s="242">
        <f>D59/$F$46</f>
        <v>22304.105317089045</v>
      </c>
      <c r="G59" s="242">
        <f>D59/$G$46</f>
        <v>12296.89774784202</v>
      </c>
      <c r="H59" s="242">
        <f>D59/$H$46</f>
        <v>21795.683767353959</v>
      </c>
      <c r="I59" s="242"/>
      <c r="J59" s="245"/>
      <c r="K59" s="37"/>
      <c r="L59" s="4"/>
      <c r="M59" s="4">
        <f>M58/M57</f>
        <v>1.228870331462887</v>
      </c>
      <c r="S59" s="248" t="s">
        <v>604</v>
      </c>
      <c r="T59" s="248" t="s">
        <v>605</v>
      </c>
      <c r="U59" s="249">
        <f>36*365.25</f>
        <v>13149</v>
      </c>
      <c r="V59" s="250">
        <f>(D60-36)/D60</f>
        <v>-2.2125484545712374E-4</v>
      </c>
    </row>
    <row r="60" spans="1:22" x14ac:dyDescent="0.5">
      <c r="A60" s="240" t="s">
        <v>403</v>
      </c>
      <c r="B60" s="241" t="s">
        <v>437</v>
      </c>
      <c r="C60" s="242">
        <f>C41-C42</f>
        <v>13146.091363586986</v>
      </c>
      <c r="D60" s="243">
        <f t="shared" ref="D60:D68" si="4">C60/$D$46</f>
        <v>35.992036587507144</v>
      </c>
      <c r="E60" s="242">
        <f t="shared" ref="E60:E68" si="5">D60/$E$46</f>
        <v>25.450213139740626</v>
      </c>
      <c r="F60" s="242">
        <f t="shared" ref="F60:F68" si="6">D60/$F$46</f>
        <v>20.78001201248011</v>
      </c>
      <c r="G60" s="242">
        <f t="shared" ref="G60:G68" si="7">D60/$G$46</f>
        <v>11.456621069692229</v>
      </c>
      <c r="H60" s="242">
        <f t="shared" ref="H60:H68" si="8">D60/$H$46</f>
        <v>20.306332133341265</v>
      </c>
      <c r="I60" s="242">
        <f t="shared" ref="I60:I68" si="9">$C60/$I$46</f>
        <v>637.94223851459265</v>
      </c>
      <c r="J60" s="245">
        <f t="shared" ref="J60:J68" si="10">$C60/$J$46</f>
        <v>637.54080327773931</v>
      </c>
      <c r="K60" s="37"/>
      <c r="S60" s="248" t="s">
        <v>606</v>
      </c>
      <c r="T60" s="248" t="s">
        <v>607</v>
      </c>
      <c r="U60" s="249">
        <f>27*2^0.5*365.25</f>
        <v>13946.62059873287</v>
      </c>
      <c r="V60" s="250">
        <f>(E61-27)/E61</f>
        <v>2.5817865770412583E-4</v>
      </c>
    </row>
    <row r="61" spans="1:22" ht="15.7" thickBot="1" x14ac:dyDescent="0.55000000000000004">
      <c r="A61" s="240" t="s">
        <v>404</v>
      </c>
      <c r="B61" s="241" t="s">
        <v>438</v>
      </c>
      <c r="C61" s="242">
        <f>D41-D42</f>
        <v>13950.222248387634</v>
      </c>
      <c r="D61" s="242">
        <f t="shared" si="4"/>
        <v>38.193626963415838</v>
      </c>
      <c r="E61" s="243">
        <f>D61/$E$46</f>
        <v>27.006972623940701</v>
      </c>
      <c r="F61" s="242">
        <f t="shared" si="6"/>
        <v>22.051100808656283</v>
      </c>
      <c r="G61" s="242">
        <f t="shared" si="7"/>
        <v>12.157409051671054</v>
      </c>
      <c r="H61" s="242">
        <f t="shared" si="8"/>
        <v>21.548446490667938</v>
      </c>
      <c r="I61" s="242">
        <f t="shared" si="9"/>
        <v>676.96441191355143</v>
      </c>
      <c r="J61" s="245">
        <f t="shared" si="10"/>
        <v>676.5384213573052</v>
      </c>
      <c r="K61" s="37"/>
      <c r="S61" s="248"/>
      <c r="T61" s="248"/>
      <c r="U61" s="249"/>
      <c r="V61" s="250"/>
    </row>
    <row r="62" spans="1:22" ht="15.7" thickBot="1" x14ac:dyDescent="0.55000000000000004">
      <c r="A62" s="240"/>
      <c r="B62" s="241"/>
      <c r="C62" s="242">
        <f>(C60^2+C61^2)^0.5</f>
        <v>19168.422442109983</v>
      </c>
      <c r="D62" s="242">
        <f t="shared" si="4"/>
        <v>52.480280471211451</v>
      </c>
      <c r="E62" s="242">
        <f t="shared" si="5"/>
        <v>37.109162199765557</v>
      </c>
      <c r="F62" s="242">
        <f t="shared" si="6"/>
        <v>30.299504057200991</v>
      </c>
      <c r="G62" s="242">
        <f>D62/$G$46</f>
        <v>16.704992103684731</v>
      </c>
      <c r="H62" s="242">
        <f t="shared" si="8"/>
        <v>29.608827583522238</v>
      </c>
      <c r="I62" s="242">
        <f t="shared" si="9"/>
        <v>930.1887521780028</v>
      </c>
      <c r="J62" s="245">
        <f t="shared" si="10"/>
        <v>929.60341620319991</v>
      </c>
      <c r="K62" s="37"/>
      <c r="L62" s="108" t="s">
        <v>703</v>
      </c>
      <c r="M62" s="108" t="s">
        <v>701</v>
      </c>
      <c r="N62" s="108" t="s">
        <v>702</v>
      </c>
      <c r="S62" s="248" t="s">
        <v>608</v>
      </c>
      <c r="T62" s="248" t="s">
        <v>601</v>
      </c>
      <c r="U62" s="249">
        <f>S45*365.25</f>
        <v>22573.691439089907</v>
      </c>
      <c r="V62" s="250">
        <f>D63/S45-1</f>
        <v>4.8776586744070372E-5</v>
      </c>
    </row>
    <row r="63" spans="1:22" x14ac:dyDescent="0.5">
      <c r="A63" s="240" t="s">
        <v>405</v>
      </c>
      <c r="B63" s="241" t="s">
        <v>439</v>
      </c>
      <c r="C63" s="242">
        <f>C41-C43</f>
        <v>22574.792506708523</v>
      </c>
      <c r="D63" s="243">
        <f t="shared" si="4"/>
        <v>61.806413433835793</v>
      </c>
      <c r="E63" s="242">
        <f t="shared" si="5"/>
        <v>43.703734059884617</v>
      </c>
      <c r="F63" s="242">
        <f t="shared" si="6"/>
        <v>35.683949433670399</v>
      </c>
      <c r="G63" s="242">
        <f t="shared" si="7"/>
        <v>19.673592425552584</v>
      </c>
      <c r="H63" s="242">
        <f t="shared" si="8"/>
        <v>34.870534655816272</v>
      </c>
      <c r="I63" s="242">
        <f t="shared" si="9"/>
        <v>1095.4901550146067</v>
      </c>
      <c r="J63" s="245">
        <f t="shared" si="10"/>
        <v>1094.8008005193269</v>
      </c>
      <c r="K63" s="37"/>
      <c r="L63" s="264">
        <f>C60*0.0254</f>
        <v>333.91072063510944</v>
      </c>
      <c r="M63" s="264">
        <f>L63/'Petrie &amp; Dash Plateau Survey'!$R$7</f>
        <v>333.97366576402834</v>
      </c>
      <c r="N63" s="173">
        <v>334.41</v>
      </c>
      <c r="S63" s="248" t="s">
        <v>609</v>
      </c>
      <c r="T63" s="248" t="s">
        <v>610</v>
      </c>
      <c r="U63" s="249">
        <f>45*PI()^0.5*365.25</f>
        <v>29132.494606945787</v>
      </c>
      <c r="V63" s="250">
        <f>H64/45-1</f>
        <v>5.2793125302041943E-5</v>
      </c>
    </row>
    <row r="64" spans="1:22" x14ac:dyDescent="0.5">
      <c r="A64" s="240" t="s">
        <v>406</v>
      </c>
      <c r="B64" s="241" t="s">
        <v>440</v>
      </c>
      <c r="C64" s="242">
        <f>D41-D43</f>
        <v>29134.03260238393</v>
      </c>
      <c r="D64" s="242">
        <f t="shared" si="4"/>
        <v>79.764634092769143</v>
      </c>
      <c r="E64" s="242">
        <f t="shared" si="5"/>
        <v>56.402113665860732</v>
      </c>
      <c r="F64" s="242">
        <f t="shared" si="6"/>
        <v>46.052132965272271</v>
      </c>
      <c r="G64" s="242">
        <f t="shared" si="7"/>
        <v>25.389871599561054</v>
      </c>
      <c r="H64" s="243">
        <f>D64/$H$46</f>
        <v>45.002375690638587</v>
      </c>
      <c r="I64" s="242">
        <f t="shared" si="9"/>
        <v>1413.7913286379808</v>
      </c>
      <c r="J64" s="245">
        <f t="shared" si="10"/>
        <v>1412.9016780981538</v>
      </c>
      <c r="K64" s="37"/>
      <c r="L64" s="264">
        <f>C61*0.0254</f>
        <v>354.33564510904591</v>
      </c>
      <c r="M64" s="264">
        <f>L64/'Petrie &amp; Dash Plateau Survey'!$R$7</f>
        <v>354.40244051717031</v>
      </c>
      <c r="N64" s="173">
        <v>353.86</v>
      </c>
      <c r="S64" s="248"/>
      <c r="T64" s="248"/>
      <c r="U64" s="249"/>
      <c r="V64" s="250"/>
    </row>
    <row r="65" spans="1:22" x14ac:dyDescent="0.5">
      <c r="A65" s="240"/>
      <c r="B65" s="241"/>
      <c r="C65" s="242">
        <f>(C63^2+C64^2)^0.5</f>
        <v>36856.656283468161</v>
      </c>
      <c r="D65" s="242">
        <f t="shared" si="4"/>
        <v>100.90802541675062</v>
      </c>
      <c r="E65" s="242">
        <f t="shared" si="5"/>
        <v>71.352749048328846</v>
      </c>
      <c r="F65" s="242">
        <f t="shared" si="6"/>
        <v>58.25927563775457</v>
      </c>
      <c r="G65" s="242">
        <f t="shared" si="7"/>
        <v>32.120022085436943</v>
      </c>
      <c r="H65" s="242">
        <f t="shared" si="8"/>
        <v>56.931256836502939</v>
      </c>
      <c r="I65" s="242">
        <f t="shared" si="9"/>
        <v>1788.5481823719131</v>
      </c>
      <c r="J65" s="245">
        <f t="shared" si="10"/>
        <v>1787.4227101584945</v>
      </c>
      <c r="K65" s="37"/>
      <c r="L65" s="264"/>
      <c r="M65" s="264"/>
      <c r="N65" s="173"/>
      <c r="S65" s="225"/>
      <c r="T65" s="225"/>
      <c r="U65" s="225"/>
      <c r="V65" s="225"/>
    </row>
    <row r="66" spans="1:22" x14ac:dyDescent="0.5">
      <c r="A66" s="240" t="s">
        <v>401</v>
      </c>
      <c r="B66" s="241" t="s">
        <v>441</v>
      </c>
      <c r="C66" s="242">
        <f>C42-C43</f>
        <v>9428.7011431215396</v>
      </c>
      <c r="D66" s="242">
        <f t="shared" si="4"/>
        <v>25.814376846328649</v>
      </c>
      <c r="E66" s="242">
        <f t="shared" si="5"/>
        <v>18.253520920143991</v>
      </c>
      <c r="F66" s="242">
        <f t="shared" si="6"/>
        <v>14.903937421190289</v>
      </c>
      <c r="G66" s="242">
        <f t="shared" si="7"/>
        <v>8.2169713558603537</v>
      </c>
      <c r="H66" s="242">
        <f t="shared" si="8"/>
        <v>14.564202522475004</v>
      </c>
      <c r="I66" s="242">
        <f t="shared" si="9"/>
        <v>457.54791650001408</v>
      </c>
      <c r="J66" s="245">
        <f t="shared" si="10"/>
        <v>457.25999724158771</v>
      </c>
      <c r="K66" s="37"/>
      <c r="L66" s="264">
        <f>C63*0.0254</f>
        <v>573.39972967039648</v>
      </c>
      <c r="M66" s="264">
        <f>L66/'Petrie &amp; Dash Plateau Survey'!$R$7</f>
        <v>573.50782059912592</v>
      </c>
      <c r="N66" s="173">
        <v>574.45000000000005</v>
      </c>
      <c r="S66" s="248" t="s">
        <v>611</v>
      </c>
      <c r="T66" s="248" t="s">
        <v>612</v>
      </c>
      <c r="U66" s="249">
        <f>24*3^0.5*365.25</f>
        <v>15183.157379148779</v>
      </c>
      <c r="V66" s="250">
        <f>F67/24-1</f>
        <v>4.3006525666244855E-5</v>
      </c>
    </row>
    <row r="67" spans="1:22" x14ac:dyDescent="0.5">
      <c r="A67" s="240" t="s">
        <v>402</v>
      </c>
      <c r="B67" s="241" t="s">
        <v>442</v>
      </c>
      <c r="C67" s="242">
        <f>D42-D43</f>
        <v>15183.810353996298</v>
      </c>
      <c r="D67" s="242">
        <f t="shared" si="4"/>
        <v>41.571007129353312</v>
      </c>
      <c r="E67" s="242">
        <f t="shared" si="5"/>
        <v>29.395141041920038</v>
      </c>
      <c r="F67" s="243">
        <f>D67/$F$46</f>
        <v>24.001032156615988</v>
      </c>
      <c r="G67" s="242">
        <f t="shared" si="7"/>
        <v>13.232462547890004</v>
      </c>
      <c r="H67" s="242">
        <f t="shared" si="8"/>
        <v>23.453929199970656</v>
      </c>
      <c r="I67" s="242">
        <f t="shared" si="9"/>
        <v>736.82691672442945</v>
      </c>
      <c r="J67" s="245">
        <f t="shared" si="10"/>
        <v>736.36325674084856</v>
      </c>
      <c r="K67" s="37"/>
      <c r="L67" s="264">
        <f>C64*0.0254</f>
        <v>740.00442810055176</v>
      </c>
      <c r="M67" s="264">
        <f>L67/'Petrie &amp; Dash Plateau Survey'!$R$7</f>
        <v>740.14392549086836</v>
      </c>
      <c r="N67" s="173">
        <v>739.19</v>
      </c>
      <c r="T67" s="10"/>
    </row>
    <row r="68" spans="1:22" x14ac:dyDescent="0.5">
      <c r="A68" s="240"/>
      <c r="B68" s="241"/>
      <c r="C68" s="242">
        <f>(C66^2+C67^2)^0.5</f>
        <v>17873.122338092653</v>
      </c>
      <c r="D68" s="242">
        <f t="shared" si="4"/>
        <v>48.933942061855312</v>
      </c>
      <c r="E68" s="242">
        <f t="shared" si="5"/>
        <v>34.601522262127517</v>
      </c>
      <c r="F68" s="242">
        <f t="shared" si="6"/>
        <v>28.252024621921716</v>
      </c>
      <c r="G68" s="242">
        <f t="shared" si="7"/>
        <v>15.576157528233372</v>
      </c>
      <c r="H68" s="242">
        <f t="shared" si="8"/>
        <v>27.608020393228184</v>
      </c>
      <c r="I68" s="242">
        <f t="shared" si="9"/>
        <v>867.33154047522851</v>
      </c>
      <c r="J68" s="245">
        <f t="shared" si="10"/>
        <v>866.785758394406</v>
      </c>
      <c r="K68" s="37"/>
      <c r="L68" s="264"/>
      <c r="M68" s="264"/>
      <c r="N68" s="173"/>
      <c r="P68" s="7"/>
      <c r="Q68" s="7"/>
      <c r="R68" s="7"/>
      <c r="T68" s="10"/>
    </row>
    <row r="69" spans="1:22" x14ac:dyDescent="0.5">
      <c r="A69" s="240" t="s">
        <v>613</v>
      </c>
      <c r="B69" s="241"/>
      <c r="C69" s="244">
        <v>36406.607600000003</v>
      </c>
      <c r="D69" s="244">
        <f>C69/D43</f>
        <v>-0.83892173664121994</v>
      </c>
      <c r="E69" s="242">
        <f>D69/$E$58</f>
        <v>-1.121923114818991E-2</v>
      </c>
      <c r="F69" s="242">
        <f>D69/$F$58</f>
        <v>-1.3740695809702358E-2</v>
      </c>
      <c r="G69" s="242">
        <f>D69/$G$58</f>
        <v>-2.4922865323773916E-2</v>
      </c>
      <c r="H69" s="242">
        <f>D69/$H$58</f>
        <v>-1.4061221007836824E-2</v>
      </c>
      <c r="I69" s="242">
        <f>$C69/$I$58</f>
        <v>19.423698459812591</v>
      </c>
      <c r="J69" s="245">
        <f>$C69/$J$58</f>
        <v>19.435928825228729</v>
      </c>
      <c r="L69" s="264">
        <f>C66*0.0254</f>
        <v>239.4890090352871</v>
      </c>
      <c r="M69" s="264">
        <f>L69/'Petrie &amp; Dash Plateau Survey'!$R$7</f>
        <v>239.53415483509761</v>
      </c>
      <c r="N69" s="173">
        <v>240.04</v>
      </c>
      <c r="O69" s="7"/>
      <c r="P69" s="7"/>
      <c r="Q69" s="7"/>
      <c r="R69" s="7"/>
      <c r="T69" s="10"/>
    </row>
    <row r="70" spans="1:22" ht="15.7" thickBot="1" x14ac:dyDescent="0.55000000000000004">
      <c r="A70" s="231" t="s">
        <v>614</v>
      </c>
      <c r="B70" s="232"/>
      <c r="C70" s="236">
        <v>4622.9408000000003</v>
      </c>
      <c r="D70" s="246">
        <f>C70/$D$58</f>
        <v>43.716459566988704</v>
      </c>
      <c r="E70" s="246">
        <f>D70/$E$58</f>
        <v>0.58463745000363565</v>
      </c>
      <c r="F70" s="246">
        <f>D70/$F$58</f>
        <v>0.71603171851540914</v>
      </c>
      <c r="G70" s="246">
        <f>D70/$G$58</f>
        <v>1.2987378758147834</v>
      </c>
      <c r="H70" s="246">
        <f>D70/$H$58</f>
        <v>0.73273438129364044</v>
      </c>
      <c r="I70" s="246">
        <f>$C70/$I$58</f>
        <v>2.4664371117281685</v>
      </c>
      <c r="J70" s="247">
        <f>$C70/$J$58</f>
        <v>2.4679901335285619</v>
      </c>
      <c r="L70" s="265">
        <f>C67*0.0254</f>
        <v>385.66878299150596</v>
      </c>
      <c r="M70" s="265">
        <f>L70/'Petrie &amp; Dash Plateau Survey'!$R$7</f>
        <v>385.74148497369811</v>
      </c>
      <c r="N70" s="174">
        <v>385.33</v>
      </c>
      <c r="O70" s="7"/>
      <c r="P70" s="7"/>
      <c r="Q70" s="7"/>
      <c r="R70" s="7"/>
    </row>
    <row r="71" spans="1:22" ht="15.7" thickBot="1" x14ac:dyDescent="0.55000000000000004">
      <c r="I71" s="4"/>
      <c r="J71" s="7"/>
      <c r="K71" s="22"/>
    </row>
    <row r="72" spans="1:22" ht="15.7" thickBot="1" x14ac:dyDescent="0.55000000000000004">
      <c r="A72" s="524" t="s">
        <v>462</v>
      </c>
      <c r="B72" s="525"/>
      <c r="C72" s="525"/>
      <c r="D72" s="525"/>
      <c r="E72" s="526"/>
      <c r="F72" s="524" t="s">
        <v>459</v>
      </c>
      <c r="G72" s="526"/>
      <c r="H72" s="38" t="s">
        <v>460</v>
      </c>
      <c r="I72" s="38" t="s">
        <v>461</v>
      </c>
      <c r="K72" s="22"/>
      <c r="N72" s="493" t="s">
        <v>760</v>
      </c>
      <c r="O72" s="513"/>
      <c r="P72" s="513"/>
      <c r="Q72" s="513"/>
      <c r="R72" s="513"/>
      <c r="S72" s="494"/>
    </row>
    <row r="73" spans="1:22" ht="15.7" thickBot="1" x14ac:dyDescent="0.55000000000000004">
      <c r="A73" s="39" t="s">
        <v>450</v>
      </c>
      <c r="B73" s="40"/>
      <c r="C73" s="41"/>
      <c r="D73" s="42" t="s">
        <v>443</v>
      </c>
      <c r="E73" s="43">
        <v>22703.4</v>
      </c>
      <c r="F73" s="44" t="s">
        <v>454</v>
      </c>
      <c r="G73" s="45">
        <f>D20-D24</f>
        <v>16548.993213348411</v>
      </c>
      <c r="H73" s="46">
        <f t="shared" ref="H73:H82" si="11">E73-G73</f>
        <v>6154.4067866515907</v>
      </c>
      <c r="I73" s="47">
        <f t="shared" ref="I73:I82" si="12">H73/G73</f>
        <v>0.37189010275787948</v>
      </c>
      <c r="K73" s="22"/>
      <c r="N73" s="338" t="s">
        <v>687</v>
      </c>
      <c r="O73" s="430" t="s">
        <v>673</v>
      </c>
      <c r="P73" s="431" t="s">
        <v>319</v>
      </c>
      <c r="Q73" s="431" t="s">
        <v>648</v>
      </c>
      <c r="R73" s="431" t="s">
        <v>674</v>
      </c>
      <c r="S73" s="337" t="s">
        <v>675</v>
      </c>
    </row>
    <row r="74" spans="1:22" x14ac:dyDescent="0.5">
      <c r="A74" s="48" t="s">
        <v>445</v>
      </c>
      <c r="B74" s="49"/>
      <c r="C74" s="50"/>
      <c r="D74" s="51" t="s">
        <v>424</v>
      </c>
      <c r="E74" s="52">
        <v>13009.7</v>
      </c>
      <c r="F74" s="48" t="s">
        <v>455</v>
      </c>
      <c r="G74" s="53">
        <f>D24-D29</f>
        <v>13006.953703299783</v>
      </c>
      <c r="H74" s="54">
        <f t="shared" si="11"/>
        <v>2.7462967002174992</v>
      </c>
      <c r="I74" s="55">
        <f t="shared" si="12"/>
        <v>2.1114065313546714E-4</v>
      </c>
      <c r="K74" s="22"/>
      <c r="N74" s="24" t="s">
        <v>684</v>
      </c>
      <c r="O74" s="71" t="s">
        <v>679</v>
      </c>
      <c r="P74" s="272">
        <f>365.25*24.83</f>
        <v>9069.1574999999993</v>
      </c>
      <c r="Q74" s="272">
        <f>M21</f>
        <v>9068.7999999999993</v>
      </c>
      <c r="R74" s="272">
        <f>P74-Q74</f>
        <v>0.35750000000007276</v>
      </c>
      <c r="S74" s="274" t="s">
        <v>676</v>
      </c>
    </row>
    <row r="75" spans="1:22" x14ac:dyDescent="0.5">
      <c r="A75" s="48" t="s">
        <v>444</v>
      </c>
      <c r="B75" s="49"/>
      <c r="C75" s="50"/>
      <c r="D75" s="51" t="s">
        <v>425</v>
      </c>
      <c r="E75" s="52">
        <v>35713.199999999997</v>
      </c>
      <c r="F75" s="48" t="s">
        <v>456</v>
      </c>
      <c r="G75" s="53">
        <f>D20-D29</f>
        <v>29555.946916648194</v>
      </c>
      <c r="H75" s="54">
        <f t="shared" si="11"/>
        <v>6157.2530833518031</v>
      </c>
      <c r="I75" s="55">
        <f t="shared" si="12"/>
        <v>0.20832535329407978</v>
      </c>
      <c r="K75" s="22"/>
      <c r="N75" s="26" t="s">
        <v>685</v>
      </c>
      <c r="O75" s="4" t="s">
        <v>715</v>
      </c>
      <c r="P75" s="85">
        <f>365.25*9/8*S80</f>
        <v>8476.2499999999982</v>
      </c>
      <c r="Q75" s="85">
        <f>M26</f>
        <v>8475.5</v>
      </c>
      <c r="R75" s="85">
        <f>P75-Q75</f>
        <v>0.74999999999818101</v>
      </c>
      <c r="S75" s="275" t="s">
        <v>677</v>
      </c>
    </row>
    <row r="76" spans="1:22" x14ac:dyDescent="0.5">
      <c r="A76" s="48" t="s">
        <v>446</v>
      </c>
      <c r="B76" s="49"/>
      <c r="C76" s="50"/>
      <c r="D76" s="51" t="s">
        <v>426</v>
      </c>
      <c r="E76" s="52">
        <v>5159.7</v>
      </c>
      <c r="F76" s="48" t="s">
        <v>422</v>
      </c>
      <c r="G76" s="53">
        <f>D19-D22</f>
        <v>8070.1602218295593</v>
      </c>
      <c r="H76" s="54">
        <f t="shared" si="11"/>
        <v>-2910.4602218295595</v>
      </c>
      <c r="I76" s="55">
        <f t="shared" si="12"/>
        <v>-0.3606446640249899</v>
      </c>
      <c r="K76" s="22"/>
      <c r="N76" s="26" t="s">
        <v>686</v>
      </c>
      <c r="O76" s="4" t="s">
        <v>716</v>
      </c>
      <c r="P76" s="85">
        <f>365.25*3^0.5/PI()*S83</f>
        <v>4156.1320163033333</v>
      </c>
      <c r="Q76" s="85">
        <f>M31</f>
        <v>4153.8999999999996</v>
      </c>
      <c r="R76" s="85">
        <f>P76-Q76</f>
        <v>2.2320163033336939</v>
      </c>
      <c r="S76" s="275" t="s">
        <v>678</v>
      </c>
    </row>
    <row r="77" spans="1:22" x14ac:dyDescent="0.5">
      <c r="A77" s="48" t="s">
        <v>447</v>
      </c>
      <c r="B77" s="49"/>
      <c r="C77" s="50"/>
      <c r="D77" s="51" t="s">
        <v>427</v>
      </c>
      <c r="E77" s="52">
        <v>8856.1</v>
      </c>
      <c r="F77" s="48" t="s">
        <v>432</v>
      </c>
      <c r="G77" s="53">
        <f>D24-D27</f>
        <v>8873.6179555256531</v>
      </c>
      <c r="H77" s="54">
        <f t="shared" si="11"/>
        <v>-17.517955525652724</v>
      </c>
      <c r="I77" s="55">
        <f t="shared" si="12"/>
        <v>-1.9741615667309849E-3</v>
      </c>
      <c r="K77" s="22"/>
      <c r="N77" s="262"/>
      <c r="P77" s="85"/>
      <c r="Q77" s="85" t="s">
        <v>572</v>
      </c>
      <c r="R77" s="85">
        <f>(R75^2+R76^2)^0.5</f>
        <v>2.3546542800047483</v>
      </c>
      <c r="S77" s="276"/>
    </row>
    <row r="78" spans="1:22" x14ac:dyDescent="0.5">
      <c r="A78" s="48" t="s">
        <v>448</v>
      </c>
      <c r="B78" s="49"/>
      <c r="C78" s="50"/>
      <c r="D78" s="51" t="s">
        <v>428</v>
      </c>
      <c r="E78" s="52">
        <v>12868.8</v>
      </c>
      <c r="F78" s="48" t="s">
        <v>457</v>
      </c>
      <c r="G78" s="53">
        <f>C19-C25</f>
        <v>9956.5094268771936</v>
      </c>
      <c r="H78" s="54">
        <f t="shared" si="11"/>
        <v>2912.2905731228057</v>
      </c>
      <c r="I78" s="55">
        <f t="shared" si="12"/>
        <v>0.29250116162810985</v>
      </c>
      <c r="K78" s="22"/>
      <c r="N78" s="26" t="s">
        <v>680</v>
      </c>
      <c r="O78" s="4" t="s">
        <v>700</v>
      </c>
      <c r="P78" s="85">
        <f>S80*PI()^0.5*120</f>
        <v>4387.5006390108338</v>
      </c>
      <c r="Q78" s="85">
        <f>C48</f>
        <v>1484.5942301707146</v>
      </c>
      <c r="R78" s="85">
        <f>P78-Q78</f>
        <v>2902.9064088401192</v>
      </c>
      <c r="S78" s="276"/>
    </row>
    <row r="79" spans="1:22" x14ac:dyDescent="0.5">
      <c r="A79" s="48" t="s">
        <v>449</v>
      </c>
      <c r="B79" s="49"/>
      <c r="C79" s="50"/>
      <c r="D79" s="51" t="s">
        <v>429</v>
      </c>
      <c r="E79" s="52">
        <v>7289.5</v>
      </c>
      <c r="F79" s="48" t="s">
        <v>458</v>
      </c>
      <c r="G79" s="53">
        <f>C24-C29</f>
        <v>7283.3334108506133</v>
      </c>
      <c r="H79" s="54">
        <f t="shared" si="11"/>
        <v>6.1665891493867093</v>
      </c>
      <c r="I79" s="55">
        <f t="shared" si="12"/>
        <v>8.4667127008078566E-4</v>
      </c>
      <c r="K79" s="22"/>
      <c r="N79" s="26" t="s">
        <v>681</v>
      </c>
      <c r="O79" s="4" t="s">
        <v>704</v>
      </c>
      <c r="P79" s="85">
        <f>S80*PI()^0.5*2^0.5*100</f>
        <v>5170.7190905081188</v>
      </c>
      <c r="Q79" s="85">
        <f>C49</f>
        <v>8070.1602218295593</v>
      </c>
      <c r="R79" s="85">
        <f>P79-Q79</f>
        <v>-2899.4411313214405</v>
      </c>
      <c r="S79" s="276"/>
    </row>
    <row r="80" spans="1:22" x14ac:dyDescent="0.5">
      <c r="A80" s="48" t="s">
        <v>451</v>
      </c>
      <c r="B80" s="49"/>
      <c r="C80" s="50"/>
      <c r="D80" s="51" t="s">
        <v>421</v>
      </c>
      <c r="E80" s="52">
        <v>29227.200000000001</v>
      </c>
      <c r="F80" s="48" t="s">
        <v>435</v>
      </c>
      <c r="G80" s="53">
        <f>C17-C29</f>
        <v>26305.758615050585</v>
      </c>
      <c r="H80" s="54">
        <f t="shared" si="11"/>
        <v>2921.4413849494158</v>
      </c>
      <c r="I80" s="55">
        <f t="shared" si="12"/>
        <v>0.1110571045564883</v>
      </c>
      <c r="K80" s="22"/>
      <c r="N80" s="26"/>
      <c r="P80" s="85"/>
      <c r="Q80" s="85" t="s">
        <v>572</v>
      </c>
      <c r="R80" s="85">
        <f>(R75^2+R78^2+R79^2)^0.5</f>
        <v>4102.8800926889871</v>
      </c>
      <c r="S80" s="276">
        <v>20.628184652825308</v>
      </c>
    </row>
    <row r="81" spans="1:19" x14ac:dyDescent="0.5">
      <c r="A81" s="48" t="s">
        <v>452</v>
      </c>
      <c r="B81" s="49"/>
      <c r="C81" s="50"/>
      <c r="D81" s="51" t="s">
        <v>420</v>
      </c>
      <c r="E81" s="52">
        <v>4393.8999999999996</v>
      </c>
      <c r="F81" s="48" t="s">
        <v>423</v>
      </c>
      <c r="G81" s="53">
        <f>C19-C22</f>
        <v>1484.5942301707146</v>
      </c>
      <c r="H81" s="54">
        <f t="shared" si="11"/>
        <v>2909.3057698292851</v>
      </c>
      <c r="I81" s="55">
        <f t="shared" si="12"/>
        <v>1.9596639342285076</v>
      </c>
      <c r="N81" s="26" t="s">
        <v>682</v>
      </c>
      <c r="O81" s="4" t="s">
        <v>713</v>
      </c>
      <c r="P81" s="85">
        <f>S83*2^0.5*1000</f>
        <v>29187.93380774881</v>
      </c>
      <c r="Q81" s="85">
        <f>C57</f>
        <v>26305.758615050585</v>
      </c>
      <c r="R81" s="85">
        <f>P81-Q81</f>
        <v>2882.1751926982251</v>
      </c>
      <c r="S81" s="276"/>
    </row>
    <row r="82" spans="1:19" ht="15.7" thickBot="1" x14ac:dyDescent="0.55000000000000004">
      <c r="A82" s="56" t="s">
        <v>453</v>
      </c>
      <c r="B82" s="57"/>
      <c r="C82" s="58"/>
      <c r="D82" s="59" t="s">
        <v>430</v>
      </c>
      <c r="E82" s="60">
        <v>3135.9</v>
      </c>
      <c r="F82" s="56" t="s">
        <v>431</v>
      </c>
      <c r="G82" s="61">
        <f>C24-C27</f>
        <v>3110.3588170246003</v>
      </c>
      <c r="H82" s="62">
        <f t="shared" si="11"/>
        <v>25.541182975399806</v>
      </c>
      <c r="I82" s="63">
        <f t="shared" si="12"/>
        <v>8.211651606110433E-3</v>
      </c>
      <c r="N82" s="26" t="s">
        <v>683</v>
      </c>
      <c r="O82" s="4" t="s">
        <v>714</v>
      </c>
      <c r="P82" s="85">
        <f>S83*3^0.5*1000</f>
        <v>35747.772237557525</v>
      </c>
      <c r="Q82" s="85">
        <f>C58</f>
        <v>38624.562554353026</v>
      </c>
      <c r="R82" s="85">
        <f>P82-Q82</f>
        <v>-2876.790316795501</v>
      </c>
      <c r="S82" s="276"/>
    </row>
    <row r="83" spans="1:19" x14ac:dyDescent="0.5">
      <c r="N83" s="26"/>
      <c r="P83" s="85"/>
      <c r="Q83" s="85" t="s">
        <v>572</v>
      </c>
      <c r="R83" s="85">
        <f>R76^2+R81^2+R82^2</f>
        <v>16582861.350110188</v>
      </c>
      <c r="S83" s="276">
        <v>20.638985924283269</v>
      </c>
    </row>
    <row r="84" spans="1:19" x14ac:dyDescent="0.5">
      <c r="C84" s="7" t="s">
        <v>307</v>
      </c>
      <c r="D84" s="7" t="s">
        <v>308</v>
      </c>
      <c r="N84" s="26" t="s">
        <v>705</v>
      </c>
      <c r="O84" s="4" t="s">
        <v>707</v>
      </c>
      <c r="P84" s="85">
        <f>P81-P74-P75-P76-P78</f>
        <v>3098.8936524346473</v>
      </c>
      <c r="Q84" s="85">
        <f>C51</f>
        <v>3110.3588170246003</v>
      </c>
      <c r="R84" s="85">
        <f>P84-C51</f>
        <v>-11.465164589953019</v>
      </c>
      <c r="S84" s="276"/>
    </row>
    <row r="85" spans="1:19" x14ac:dyDescent="0.5">
      <c r="A85" s="4" t="s">
        <v>218</v>
      </c>
      <c r="B85" s="196" t="s">
        <v>377</v>
      </c>
      <c r="C85" s="8">
        <f>'Petrie &amp; Dash Plateau Survey'!M74</f>
        <v>-11369.272449143316</v>
      </c>
      <c r="D85" s="8">
        <f>'Petrie &amp; Dash Plateau Survey'!N74</f>
        <v>-14262.873223135224</v>
      </c>
      <c r="N85" s="26" t="s">
        <v>706</v>
      </c>
      <c r="O85" s="4" t="s">
        <v>707</v>
      </c>
      <c r="P85" s="85">
        <f>P82-P74-P75-P76-P79</f>
        <v>8875.5136307460707</v>
      </c>
      <c r="Q85" s="85">
        <f>C52</f>
        <v>8873.6179555256531</v>
      </c>
      <c r="R85" s="85">
        <f>P85-C52</f>
        <v>1.8956752204176155</v>
      </c>
      <c r="S85" s="276"/>
    </row>
    <row r="86" spans="1:19" x14ac:dyDescent="0.5">
      <c r="A86" s="4" t="s">
        <v>233</v>
      </c>
      <c r="B86" s="196" t="s">
        <v>381</v>
      </c>
      <c r="C86" s="8">
        <f>'Petrie &amp; Dash Plateau Survey'!M79</f>
        <v>-24515.363812730302</v>
      </c>
      <c r="D86" s="8">
        <f>'Petrie &amp; Dash Plateau Survey'!N79</f>
        <v>-28213.095471522858</v>
      </c>
      <c r="K86" s="4"/>
      <c r="L86" s="4"/>
      <c r="N86" s="26"/>
      <c r="O86" s="4" t="s">
        <v>630</v>
      </c>
      <c r="R86" s="85">
        <f>(R84^2+R85^2)^0.5</f>
        <v>11.620825427482249</v>
      </c>
      <c r="S86" s="74"/>
    </row>
    <row r="87" spans="1:19" ht="15.7" thickBot="1" x14ac:dyDescent="0.55000000000000004">
      <c r="A87" s="4" t="s">
        <v>248</v>
      </c>
      <c r="B87" s="196" t="s">
        <v>385</v>
      </c>
      <c r="C87" s="8">
        <f>'Petrie &amp; Dash Plateau Survey'!M84</f>
        <v>-33944.064955851842</v>
      </c>
      <c r="D87" s="8">
        <f>'Petrie &amp; Dash Plateau Survey'!N84</f>
        <v>-43396.905825519156</v>
      </c>
      <c r="K87" s="4"/>
      <c r="L87" s="4"/>
      <c r="N87" s="27"/>
      <c r="O87" s="29"/>
      <c r="P87" s="29"/>
      <c r="Q87" s="29"/>
      <c r="R87" s="273"/>
      <c r="S87" s="78"/>
    </row>
    <row r="88" spans="1:19" ht="15.7" thickBot="1" x14ac:dyDescent="0.55000000000000004">
      <c r="C88" s="7" t="s">
        <v>661</v>
      </c>
      <c r="D88" s="7" t="s">
        <v>365</v>
      </c>
      <c r="E88" s="7" t="s">
        <v>297</v>
      </c>
      <c r="F88" s="7" t="s">
        <v>297</v>
      </c>
      <c r="G88" s="7" t="s">
        <v>365</v>
      </c>
      <c r="K88" s="4"/>
      <c r="L88" s="4"/>
      <c r="S88" s="10"/>
    </row>
    <row r="89" spans="1:19" ht="15.7" thickBot="1" x14ac:dyDescent="0.55000000000000004">
      <c r="A89" s="258" t="s">
        <v>660</v>
      </c>
      <c r="C89" s="8">
        <f>((C85-C86)^2+(D85-D86)^2)^0.5</f>
        <v>19168.422442109983</v>
      </c>
      <c r="D89" s="8">
        <f>C89*0.0254</f>
        <v>486.87793002959353</v>
      </c>
      <c r="E89" s="8">
        <f>DEGREES(ATAN((D85-D86)/(C85-C86)))</f>
        <v>46.699854376243287</v>
      </c>
      <c r="F89" s="8">
        <f>E89-45</f>
        <v>1.6998543762432874</v>
      </c>
      <c r="G89" s="8">
        <f>D89*COS(F89/180*PI())</f>
        <v>486.66367234468896</v>
      </c>
      <c r="K89" s="4"/>
      <c r="L89" s="4"/>
      <c r="O89" s="493" t="s">
        <v>770</v>
      </c>
      <c r="P89" s="513"/>
      <c r="Q89" s="494"/>
    </row>
    <row r="90" spans="1:19" x14ac:dyDescent="0.5">
      <c r="A90" s="258" t="s">
        <v>662</v>
      </c>
      <c r="C90" s="8">
        <f>((C86-C87)^2+(D86-D87)^2)^0.5</f>
        <v>17873.122338092653</v>
      </c>
      <c r="D90" s="8">
        <f t="shared" ref="D90:D91" si="13">C90*0.0254</f>
        <v>453.97730738755337</v>
      </c>
      <c r="E90" s="8">
        <f>DEGREES(ATAN((D86-D87)/(C86-C87)))</f>
        <v>58.160931094817933</v>
      </c>
      <c r="F90" s="8">
        <f t="shared" ref="F90:F91" si="14">E90-45</f>
        <v>13.160931094817933</v>
      </c>
      <c r="G90" s="8">
        <f>D90*COS(F90/180*PI())</f>
        <v>442.05331405375472</v>
      </c>
      <c r="K90" s="4"/>
      <c r="L90" s="4"/>
      <c r="O90" s="24" t="s">
        <v>688</v>
      </c>
      <c r="P90" s="71">
        <v>20.62</v>
      </c>
      <c r="Q90" s="82" t="s">
        <v>697</v>
      </c>
    </row>
    <row r="91" spans="1:19" x14ac:dyDescent="0.5">
      <c r="A91" s="258" t="s">
        <v>663</v>
      </c>
      <c r="C91" s="8">
        <f>((C87-C85)^2+(D87-D85)^2)^0.5</f>
        <v>36856.656283468161</v>
      </c>
      <c r="D91" s="8">
        <f t="shared" si="13"/>
        <v>936.15906960009124</v>
      </c>
      <c r="E91" s="8">
        <f>DEGREES(ATAN((D87-D85)/(C87-C85)))</f>
        <v>52.229332366757042</v>
      </c>
      <c r="F91" s="8">
        <f t="shared" si="14"/>
        <v>7.2293323667570419</v>
      </c>
      <c r="G91" s="8">
        <f>D91*COS(F91/180*PI())</f>
        <v>928.71698639844374</v>
      </c>
      <c r="K91" s="4"/>
      <c r="L91" s="4"/>
      <c r="O91" s="26" t="s">
        <v>689</v>
      </c>
      <c r="P91" s="4">
        <v>20.64</v>
      </c>
      <c r="Q91" s="74" t="s">
        <v>696</v>
      </c>
    </row>
    <row r="92" spans="1:19" x14ac:dyDescent="0.5">
      <c r="G92" s="8"/>
      <c r="O92" s="26" t="s">
        <v>692</v>
      </c>
      <c r="P92" s="4">
        <v>20.68</v>
      </c>
      <c r="Q92" s="74" t="s">
        <v>698</v>
      </c>
    </row>
    <row r="93" spans="1:19" x14ac:dyDescent="0.5">
      <c r="A93" s="258" t="s">
        <v>666</v>
      </c>
      <c r="O93" s="26" t="s">
        <v>690</v>
      </c>
      <c r="P93" s="4">
        <v>20.71</v>
      </c>
      <c r="Q93" s="74" t="s">
        <v>698</v>
      </c>
    </row>
    <row r="94" spans="1:19" x14ac:dyDescent="0.5">
      <c r="C94" s="7" t="s">
        <v>665</v>
      </c>
      <c r="D94" s="7" t="s">
        <v>664</v>
      </c>
      <c r="O94" s="26" t="s">
        <v>691</v>
      </c>
      <c r="P94" s="4">
        <v>20.69</v>
      </c>
      <c r="Q94" s="74" t="s">
        <v>698</v>
      </c>
    </row>
    <row r="95" spans="1:19" x14ac:dyDescent="0.5">
      <c r="A95" s="258" t="s">
        <v>543</v>
      </c>
      <c r="C95" s="253">
        <v>100115.837</v>
      </c>
      <c r="D95" s="253">
        <v>499883.90399999998</v>
      </c>
      <c r="O95" s="26" t="s">
        <v>693</v>
      </c>
      <c r="P95" s="4">
        <v>20.58</v>
      </c>
      <c r="Q95" s="74" t="s">
        <v>698</v>
      </c>
    </row>
    <row r="96" spans="1:19" x14ac:dyDescent="0.5">
      <c r="A96" s="258" t="s">
        <v>542</v>
      </c>
      <c r="C96" s="253">
        <v>99884.209000000003</v>
      </c>
      <c r="D96" s="253">
        <v>499884.413</v>
      </c>
      <c r="O96" s="26" t="s">
        <v>694</v>
      </c>
      <c r="P96" s="4">
        <v>20.51</v>
      </c>
      <c r="Q96" s="74" t="s">
        <v>698</v>
      </c>
    </row>
    <row r="97" spans="1:17" x14ac:dyDescent="0.5">
      <c r="A97" s="258" t="s">
        <v>541</v>
      </c>
      <c r="C97" s="253">
        <v>99884.1</v>
      </c>
      <c r="D97" s="253">
        <v>500116.174</v>
      </c>
      <c r="O97" s="26" t="s">
        <v>695</v>
      </c>
      <c r="P97" s="85">
        <f>AVERAGE(P90:P96)</f>
        <v>20.632857142857144</v>
      </c>
      <c r="Q97" s="74" t="s">
        <v>698</v>
      </c>
    </row>
    <row r="98" spans="1:17" ht="15.7" thickBot="1" x14ac:dyDescent="0.55000000000000004">
      <c r="A98" s="258" t="s">
        <v>540</v>
      </c>
      <c r="C98" s="253">
        <v>100116.077</v>
      </c>
      <c r="D98" s="253">
        <v>500115.81800000003</v>
      </c>
      <c r="O98" s="27" t="s">
        <v>699</v>
      </c>
      <c r="P98" s="29">
        <v>0.6</v>
      </c>
      <c r="Q98" s="197"/>
    </row>
    <row r="100" spans="1:17" x14ac:dyDescent="0.5">
      <c r="C100" s="7" t="s">
        <v>365</v>
      </c>
      <c r="D100" s="7" t="s">
        <v>365</v>
      </c>
      <c r="E100" s="7" t="s">
        <v>661</v>
      </c>
      <c r="F100" s="7" t="s">
        <v>671</v>
      </c>
    </row>
    <row r="101" spans="1:17" x14ac:dyDescent="0.5">
      <c r="A101" s="259" t="s">
        <v>667</v>
      </c>
      <c r="C101" s="85">
        <f>C95-100000</f>
        <v>115.83699999999953</v>
      </c>
      <c r="D101" s="85">
        <f>D95-500000</f>
        <v>-116.09600000001956</v>
      </c>
      <c r="E101" s="10">
        <f>((C95-C96)^2+(D95-D96)^2)^0.5/0.0254</f>
        <v>9119.2346165469316</v>
      </c>
      <c r="F101" s="4">
        <v>9119.2000000000007</v>
      </c>
    </row>
    <row r="102" spans="1:17" x14ac:dyDescent="0.5">
      <c r="A102" s="259" t="s">
        <v>668</v>
      </c>
      <c r="C102" s="85">
        <f>C96-100000</f>
        <v>-115.79099999999744</v>
      </c>
      <c r="D102" s="85">
        <f>D96-500000</f>
        <v>-115.58699999999953</v>
      </c>
      <c r="E102" s="10">
        <f>((C96-C97)^2+(D96-D97)^2)^0.5/0.0254</f>
        <v>9124.449828031733</v>
      </c>
      <c r="F102" s="4">
        <v>9123.9</v>
      </c>
    </row>
    <row r="103" spans="1:17" x14ac:dyDescent="0.5">
      <c r="A103" s="259" t="s">
        <v>669</v>
      </c>
      <c r="C103" s="85">
        <f>C97-100000</f>
        <v>-115.89999999999418</v>
      </c>
      <c r="D103" s="85">
        <f>D97-500000</f>
        <v>116.17399999999907</v>
      </c>
      <c r="E103" s="10">
        <f>((C97-C98)^2+(D97-D98)^2)^0.5/0.0254</f>
        <v>9132.9635104271711</v>
      </c>
      <c r="F103" s="4">
        <v>9130.7999999999993</v>
      </c>
    </row>
    <row r="104" spans="1:17" x14ac:dyDescent="0.5">
      <c r="A104" s="259" t="s">
        <v>670</v>
      </c>
      <c r="C104" s="85">
        <f>C98-100000</f>
        <v>116.07700000000477</v>
      </c>
      <c r="D104" s="85">
        <f>D98-500000</f>
        <v>115.81800000002841</v>
      </c>
      <c r="E104" s="10">
        <f>((C98-C95)^2+(D98-D95)^2)^0.5/0.0254</f>
        <v>9130.4773300779325</v>
      </c>
      <c r="F104" s="4">
        <v>9129.7999999999993</v>
      </c>
    </row>
    <row r="105" spans="1:17" x14ac:dyDescent="0.5">
      <c r="A105" s="259" t="s">
        <v>548</v>
      </c>
      <c r="C105" s="85"/>
      <c r="D105" s="85"/>
      <c r="E105" s="10">
        <f>AVERAGE(E101:E104)</f>
        <v>9126.7813212709425</v>
      </c>
      <c r="F105" s="10">
        <f>AVERAGE(F101:F104)</f>
        <v>9125.9249999999993</v>
      </c>
    </row>
  </sheetData>
  <mergeCells count="20">
    <mergeCell ref="Q18:R18"/>
    <mergeCell ref="P17:P18"/>
    <mergeCell ref="P22:P23"/>
    <mergeCell ref="P27:P28"/>
    <mergeCell ref="N72:S72"/>
    <mergeCell ref="O89:Q89"/>
    <mergeCell ref="S10:S11"/>
    <mergeCell ref="C15:D15"/>
    <mergeCell ref="H15:I15"/>
    <mergeCell ref="M14:N14"/>
    <mergeCell ref="M16:N16"/>
    <mergeCell ref="K15:L15"/>
    <mergeCell ref="K16:L16"/>
    <mergeCell ref="F15:G15"/>
    <mergeCell ref="A72:E72"/>
    <mergeCell ref="F72:G72"/>
    <mergeCell ref="Q10:R10"/>
    <mergeCell ref="Q28:R28"/>
    <mergeCell ref="Q23:R23"/>
    <mergeCell ref="P9:P10"/>
  </mergeCells>
  <phoneticPr fontId="23" type="noConversion"/>
  <conditionalFormatting sqref="C5:D8 C9:C13 D10:D13">
    <cfRule type="cellIs" dxfId="7" priority="12" operator="equal">
      <formula>0</formula>
    </cfRule>
  </conditionalFormatting>
  <conditionalFormatting sqref="C17:D30">
    <cfRule type="cellIs" dxfId="6" priority="3" operator="equal">
      <formula>0</formula>
    </cfRule>
  </conditionalFormatting>
  <conditionalFormatting sqref="C34:D37">
    <cfRule type="cellIs" dxfId="5" priority="1" operator="equal">
      <formula>0</formula>
    </cfRule>
  </conditionalFormatting>
  <conditionalFormatting sqref="S12:S13 S25:S26 S30:S32 N33:N39">
    <cfRule type="expression" dxfId="4" priority="16">
      <formula>$S$30=$D$28</formula>
    </cfRule>
  </conditionalFormatting>
  <conditionalFormatting sqref="S20:S21">
    <cfRule type="expression" dxfId="3" priority="2">
      <formula>$S$30=$D$28</formula>
    </cfRule>
  </conditionalFormatting>
  <pageMargins left="0.7" right="0.7" top="0.75" bottom="0.75" header="0.3" footer="0.3"/>
  <pageSetup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2F7CF-EE27-4BF6-8F3C-BB09E7309D64}">
  <dimension ref="A1:U156"/>
  <sheetViews>
    <sheetView zoomScale="70" zoomScaleNormal="70" workbookViewId="0">
      <selection activeCell="D29" sqref="D29"/>
    </sheetView>
  </sheetViews>
  <sheetFormatPr defaultRowHeight="15.35" x14ac:dyDescent="0.5"/>
  <cols>
    <col min="1" max="1" width="10.21875" style="4" bestFit="1" customWidth="1"/>
    <col min="2" max="2" width="10.27734375" style="4" bestFit="1" customWidth="1"/>
    <col min="3" max="3" width="12.0546875" style="4" bestFit="1" customWidth="1"/>
    <col min="4" max="4" width="19.21875" style="4" bestFit="1" customWidth="1"/>
    <col min="5" max="5" width="17.109375" style="4" bestFit="1" customWidth="1"/>
    <col min="6" max="6" width="14.27734375" style="4" bestFit="1" customWidth="1"/>
    <col min="7" max="7" width="12.33203125" style="4" bestFit="1" customWidth="1"/>
    <col min="8" max="8" width="12.88671875" style="4" bestFit="1" customWidth="1"/>
    <col min="9" max="9" width="13.38671875" style="4" bestFit="1" customWidth="1"/>
    <col min="10" max="12" width="12.33203125" style="4" bestFit="1" customWidth="1"/>
    <col min="13" max="13" width="8.88671875" style="4"/>
    <col min="14" max="14" width="6.6640625" style="4" bestFit="1" customWidth="1"/>
    <col min="15" max="15" width="18.1640625" style="7" bestFit="1" customWidth="1"/>
    <col min="16" max="16" width="12.33203125" style="4" bestFit="1" customWidth="1"/>
    <col min="17" max="17" width="10.94140625" style="4" bestFit="1" customWidth="1"/>
    <col min="18" max="18" width="11.1640625" style="4" bestFit="1" customWidth="1"/>
    <col min="19" max="19" width="12.33203125" style="4" bestFit="1" customWidth="1"/>
    <col min="20" max="20" width="10.94140625" style="4" bestFit="1" customWidth="1"/>
    <col min="21" max="21" width="12.77734375" style="4" bestFit="1" customWidth="1"/>
    <col min="22" max="22" width="11.71875" style="4" bestFit="1" customWidth="1"/>
    <col min="23" max="16384" width="8.88671875" style="4"/>
  </cols>
  <sheetData>
    <row r="1" spans="1:21" ht="15.7" thickBot="1" x14ac:dyDescent="0.55000000000000004">
      <c r="A1" s="171" t="s">
        <v>521</v>
      </c>
      <c r="H1"/>
      <c r="O1" s="108"/>
      <c r="P1" s="484" t="s">
        <v>529</v>
      </c>
      <c r="Q1" s="502"/>
      <c r="R1" s="485"/>
      <c r="S1" s="484" t="s">
        <v>530</v>
      </c>
      <c r="T1" s="502"/>
      <c r="U1" s="485"/>
    </row>
    <row r="2" spans="1:21" ht="15.7" thickBot="1" x14ac:dyDescent="0.55000000000000004">
      <c r="A2" s="91" t="s">
        <v>525</v>
      </c>
      <c r="B2" s="87"/>
      <c r="H2"/>
      <c r="O2" s="108" t="s">
        <v>549</v>
      </c>
      <c r="P2" s="94" t="s">
        <v>550</v>
      </c>
      <c r="Q2" s="95"/>
      <c r="R2" s="96" t="s">
        <v>503</v>
      </c>
      <c r="S2" s="95" t="s">
        <v>550</v>
      </c>
      <c r="T2" s="95"/>
      <c r="U2" s="96" t="s">
        <v>503</v>
      </c>
    </row>
    <row r="3" spans="1:21" x14ac:dyDescent="0.5">
      <c r="B3" s="87"/>
      <c r="H3"/>
      <c r="O3" s="117" t="s">
        <v>561</v>
      </c>
      <c r="P3" s="160">
        <v>7.27E-4</v>
      </c>
      <c r="Q3" s="168" t="s">
        <v>555</v>
      </c>
      <c r="R3" s="134">
        <v>99751.718999999997</v>
      </c>
      <c r="S3" s="160">
        <f>E35</f>
        <v>7.2820116074833309E-4</v>
      </c>
      <c r="T3" s="168" t="s">
        <v>555</v>
      </c>
      <c r="U3" s="260">
        <f>E34</f>
        <v>99751.093972923321</v>
      </c>
    </row>
    <row r="4" spans="1:21" x14ac:dyDescent="0.5">
      <c r="A4" s="4" t="s">
        <v>526</v>
      </c>
      <c r="B4" s="87"/>
      <c r="H4"/>
      <c r="O4" s="117" t="s">
        <v>562</v>
      </c>
      <c r="P4" s="161">
        <v>-1.5009999999999999E-3</v>
      </c>
      <c r="Q4" s="169" t="s">
        <v>556</v>
      </c>
      <c r="R4" s="135">
        <v>500265.24300000002</v>
      </c>
      <c r="S4" s="161">
        <f>E87</f>
        <v>-1.4791472858560405E-3</v>
      </c>
      <c r="T4" s="169" t="s">
        <v>556</v>
      </c>
      <c r="U4" s="163">
        <f>E86</f>
        <v>500263.06223796454</v>
      </c>
    </row>
    <row r="5" spans="1:21" x14ac:dyDescent="0.5">
      <c r="A5" s="4" t="s">
        <v>522</v>
      </c>
      <c r="B5" s="87"/>
      <c r="H5"/>
      <c r="O5" s="117" t="s">
        <v>563</v>
      </c>
      <c r="P5" s="161">
        <v>1.0430000000000001E-3</v>
      </c>
      <c r="Q5" s="169" t="s">
        <v>555</v>
      </c>
      <c r="R5" s="135">
        <v>99363.153000000006</v>
      </c>
      <c r="S5" s="161">
        <f>E115</f>
        <v>1.0437758424303551E-3</v>
      </c>
      <c r="T5" s="169" t="s">
        <v>555</v>
      </c>
      <c r="U5" s="163">
        <f>E114</f>
        <v>99362.936472674759</v>
      </c>
    </row>
    <row r="6" spans="1:21" ht="15.7" thickBot="1" x14ac:dyDescent="0.55000000000000004">
      <c r="A6" s="4" t="s">
        <v>523</v>
      </c>
      <c r="B6" s="87"/>
      <c r="H6"/>
      <c r="O6" s="117" t="s">
        <v>564</v>
      </c>
      <c r="P6" s="162">
        <v>1.2639999999999999E-3</v>
      </c>
      <c r="Q6" s="170" t="s">
        <v>556</v>
      </c>
      <c r="R6" s="136">
        <v>500011.17800000001</v>
      </c>
      <c r="S6" s="162">
        <f>E54</f>
        <v>-1.2658390633562648E-3</v>
      </c>
      <c r="T6" s="170" t="s">
        <v>556</v>
      </c>
      <c r="U6" s="261">
        <f>E53</f>
        <v>500011.37436033355</v>
      </c>
    </row>
    <row r="7" spans="1:21" ht="15.7" thickBot="1" x14ac:dyDescent="0.55000000000000004">
      <c r="A7" s="91" t="s">
        <v>527</v>
      </c>
      <c r="B7" s="87"/>
      <c r="H7"/>
      <c r="O7" s="116" t="s">
        <v>544</v>
      </c>
      <c r="P7" s="137" t="s">
        <v>545</v>
      </c>
      <c r="Q7" s="138" t="s">
        <v>546</v>
      </c>
      <c r="R7" s="139" t="s">
        <v>547</v>
      </c>
      <c r="S7" s="137" t="s">
        <v>545</v>
      </c>
      <c r="T7" s="138" t="s">
        <v>546</v>
      </c>
      <c r="U7" s="139" t="s">
        <v>547</v>
      </c>
    </row>
    <row r="8" spans="1:21" x14ac:dyDescent="0.5">
      <c r="B8" s="87"/>
      <c r="H8"/>
      <c r="O8" s="117" t="s">
        <v>551</v>
      </c>
      <c r="P8" s="102">
        <v>230.32906054162081</v>
      </c>
      <c r="Q8" s="103">
        <v>9068.0732496701112</v>
      </c>
      <c r="R8" s="104">
        <v>1.7309286394076445E-3</v>
      </c>
      <c r="S8" s="166">
        <f>((T14-T15)^2+(S14-S15)^2)^0.5</f>
        <v>230.33231432907303</v>
      </c>
      <c r="T8" s="165">
        <f>S8/0.0254</f>
        <v>9068.2013515383078</v>
      </c>
      <c r="U8" s="106">
        <f>DEGREES(ATAN((S14-S15)/(T14-T15)))/24</f>
        <v>1.7384519072806753E-3</v>
      </c>
    </row>
    <row r="9" spans="1:21" x14ac:dyDescent="0.5">
      <c r="A9" s="4" t="s">
        <v>566</v>
      </c>
      <c r="B9" s="87"/>
      <c r="H9"/>
      <c r="O9" s="117" t="s">
        <v>552</v>
      </c>
      <c r="P9" s="102">
        <v>230.33325987577092</v>
      </c>
      <c r="Q9" s="103">
        <v>9068.2385777862564</v>
      </c>
      <c r="R9" s="104">
        <v>3.5861710366629101E-3</v>
      </c>
      <c r="S9" s="166">
        <f>((T15-T16)^2+(S15-S16)^2)^0.5</f>
        <v>230.33377193773231</v>
      </c>
      <c r="T9" s="165">
        <f t="shared" ref="T9:T11" si="0">S9/0.0254</f>
        <v>9068.2587377059972</v>
      </c>
      <c r="U9" s="164">
        <f>ABS(DEGREES(ATAN((T15-T16)/(S15-S16)))/24)</f>
        <v>3.5312014563964396E-3</v>
      </c>
    </row>
    <row r="10" spans="1:21" x14ac:dyDescent="0.5">
      <c r="A10" s="91" t="s">
        <v>565</v>
      </c>
      <c r="B10" s="87"/>
      <c r="H10"/>
      <c r="O10" s="117" t="s">
        <v>553</v>
      </c>
      <c r="P10" s="102">
        <v>230.38412605257599</v>
      </c>
      <c r="Q10" s="103">
        <v>9070.2411831722839</v>
      </c>
      <c r="R10" s="127">
        <v>2.488425925925926E-3</v>
      </c>
      <c r="S10" s="166">
        <f>((T16-T17)^2+(S16-S17)^2)^0.5</f>
        <v>230.38141871449105</v>
      </c>
      <c r="T10" s="165">
        <f t="shared" si="0"/>
        <v>9070.1345950587038</v>
      </c>
      <c r="U10" s="106">
        <f>DEGREES(ATAN((S16-S17)/(T16-T17)))/24</f>
        <v>2.4918303671434472E-3</v>
      </c>
    </row>
    <row r="11" spans="1:21" ht="15.7" thickBot="1" x14ac:dyDescent="0.55000000000000004">
      <c r="B11" s="87"/>
      <c r="H11"/>
      <c r="O11" s="117" t="s">
        <v>554</v>
      </c>
      <c r="P11" s="102">
        <v>230.40718376388133</v>
      </c>
      <c r="Q11" s="103">
        <v>9071.1489670819428</v>
      </c>
      <c r="R11" s="104">
        <v>3.0208333333333333E-3</v>
      </c>
      <c r="S11" s="166">
        <f>((T17-T14)^2+(S17-S14)^2)^0.5</f>
        <v>230.40644277691254</v>
      </c>
      <c r="T11" s="10">
        <f t="shared" si="0"/>
        <v>9071.1197943666357</v>
      </c>
      <c r="U11" s="106">
        <f>ABS(DEGREES(ATAN((T17-T14)/(S17-S14)))/24)</f>
        <v>3.0219665473307203E-3</v>
      </c>
    </row>
    <row r="12" spans="1:21" ht="15.7" thickBot="1" x14ac:dyDescent="0.55000000000000004">
      <c r="A12" s="91" t="s">
        <v>519</v>
      </c>
      <c r="B12" s="87"/>
      <c r="H12"/>
      <c r="O12" s="116" t="s">
        <v>548</v>
      </c>
      <c r="P12" s="109">
        <v>230.36340755846226</v>
      </c>
      <c r="Q12" s="110">
        <v>9069.425494427649</v>
      </c>
      <c r="R12" s="111">
        <f>SUM(R8:R11)/4</f>
        <v>2.7065897338324533E-3</v>
      </c>
      <c r="S12" s="112">
        <f>AVERAGE(S8:S11)</f>
        <v>230.36348693955222</v>
      </c>
      <c r="T12" s="113">
        <f>AVERAGE(T8:T11)</f>
        <v>9069.4286196674111</v>
      </c>
      <c r="U12" s="111">
        <f>SUM(U8:U11)/4</f>
        <v>2.6958625695378208E-3</v>
      </c>
    </row>
    <row r="13" spans="1:21" ht="15.7" thickBot="1" x14ac:dyDescent="0.55000000000000004">
      <c r="A13" s="91" t="s">
        <v>520</v>
      </c>
      <c r="B13" s="87"/>
      <c r="H13"/>
      <c r="O13" s="120" t="s">
        <v>539</v>
      </c>
      <c r="P13" s="133" t="s">
        <v>490</v>
      </c>
      <c r="Q13" s="119" t="s">
        <v>491</v>
      </c>
      <c r="R13" s="139" t="s">
        <v>547</v>
      </c>
      <c r="S13" s="133" t="s">
        <v>490</v>
      </c>
      <c r="T13" s="119" t="s">
        <v>491</v>
      </c>
      <c r="U13" s="139" t="s">
        <v>547</v>
      </c>
    </row>
    <row r="14" spans="1:21" x14ac:dyDescent="0.5">
      <c r="A14" s="91" t="s">
        <v>567</v>
      </c>
      <c r="B14" s="87"/>
      <c r="H14"/>
      <c r="O14" s="121" t="s">
        <v>543</v>
      </c>
      <c r="P14" s="123">
        <v>100115.111</v>
      </c>
      <c r="Q14" s="124">
        <v>499884.64500000002</v>
      </c>
      <c r="R14" s="125">
        <f>DEGREES(ATAN(0.000727))/24</f>
        <v>1.7355843486482753E-3</v>
      </c>
      <c r="S14" s="131">
        <f>(E35*E53+E34)/(1-E35*E54)</f>
        <v>100115.11055146513</v>
      </c>
      <c r="T14" s="132">
        <f>E54*S14+E53</f>
        <v>499884.64474256529</v>
      </c>
      <c r="U14" s="125">
        <f>DEGREES(ATAN(E35))/24</f>
        <v>1.7384519071883594E-3</v>
      </c>
    </row>
    <row r="15" spans="1:21" x14ac:dyDescent="0.5">
      <c r="A15" s="91"/>
      <c r="B15" s="87"/>
      <c r="H15"/>
      <c r="N15" s="88"/>
      <c r="O15" s="121" t="s">
        <v>540</v>
      </c>
      <c r="P15" s="126">
        <v>100115.27800000001</v>
      </c>
      <c r="Q15" s="101">
        <v>500114.97399999999</v>
      </c>
      <c r="R15" s="127">
        <f>DEGREES(ATAN(0.001501))/24</f>
        <v>3.5833708526029355E-3</v>
      </c>
      <c r="S15" s="105">
        <f>(E35*E86+E34)/(1-E35*E87)</f>
        <v>100115.27827967932</v>
      </c>
      <c r="T15" s="88">
        <f>E87*S15+E86</f>
        <v>500114.97699582443</v>
      </c>
      <c r="U15" s="167">
        <f>ABS(DEGREES(ATAN(E87)))/24</f>
        <v>3.5312014562979576E-3</v>
      </c>
    </row>
    <row r="16" spans="1:21" x14ac:dyDescent="0.5">
      <c r="A16" s="93" t="s">
        <v>524</v>
      </c>
      <c r="B16" s="87"/>
      <c r="H16"/>
      <c r="O16" s="121" t="s">
        <v>541</v>
      </c>
      <c r="P16" s="126">
        <v>99884.945000000007</v>
      </c>
      <c r="Q16" s="101">
        <v>500115.32</v>
      </c>
      <c r="R16" s="127">
        <f>DEGREES(ATAN(0.001043))/24</f>
        <v>2.4899781817662061E-3</v>
      </c>
      <c r="S16" s="105">
        <f>E115*T16+E114</f>
        <v>99884.944759712118</v>
      </c>
      <c r="T16" s="88">
        <f>(E87*E114+E86)/(1-E87*E115)</f>
        <v>500115.31769302534</v>
      </c>
      <c r="U16" s="127">
        <f>ABS(DEGREES(ATAN(E115)))/24</f>
        <v>2.4918303671175807E-3</v>
      </c>
    </row>
    <row r="17" spans="1:21" ht="15.7" thickBot="1" x14ac:dyDescent="0.55000000000000004">
      <c r="A17" s="91"/>
      <c r="B17" s="87"/>
      <c r="H17"/>
      <c r="O17" s="122" t="s">
        <v>542</v>
      </c>
      <c r="P17" s="128">
        <v>99884.703999999998</v>
      </c>
      <c r="Q17" s="129">
        <v>499884.93599999999</v>
      </c>
      <c r="R17" s="130">
        <f>DEGREES(ATAN(0.001264))/24</f>
        <v>3.0175761139665911E-3</v>
      </c>
      <c r="S17" s="107">
        <f>E115*T17+E114</f>
        <v>99884.704293283707</v>
      </c>
      <c r="T17" s="34">
        <f>(E54*E114+E53)/(1-E54*E115)</f>
        <v>499884.93639980734</v>
      </c>
      <c r="U17" s="130">
        <f>ABS(DEGREES(ATAN(E54)))/24</f>
        <v>3.0219665472989341E-3</v>
      </c>
    </row>
    <row r="18" spans="1:21" ht="15.7" thickBot="1" x14ac:dyDescent="0.55000000000000004">
      <c r="A18" s="7" t="s">
        <v>528</v>
      </c>
      <c r="B18" s="7"/>
      <c r="D18" t="s">
        <v>492</v>
      </c>
      <c r="E18"/>
      <c r="F18"/>
      <c r="G18"/>
      <c r="H18"/>
      <c r="I18"/>
      <c r="J18"/>
      <c r="K18"/>
      <c r="L18"/>
    </row>
    <row r="19" spans="1:21" ht="15.7" thickBot="1" x14ac:dyDescent="0.55000000000000004">
      <c r="A19" s="86" t="s">
        <v>490</v>
      </c>
      <c r="B19" s="87" t="s">
        <v>491</v>
      </c>
      <c r="D19"/>
      <c r="E19"/>
      <c r="F19"/>
      <c r="G19"/>
      <c r="H19"/>
      <c r="I19"/>
      <c r="J19"/>
      <c r="K19"/>
      <c r="L19"/>
      <c r="Q19" s="484" t="s">
        <v>568</v>
      </c>
      <c r="R19" s="502"/>
      <c r="S19" s="502"/>
      <c r="T19" s="502"/>
      <c r="U19" s="485"/>
    </row>
    <row r="20" spans="1:21" x14ac:dyDescent="0.5">
      <c r="A20" s="100">
        <v>100115.185</v>
      </c>
      <c r="B20" s="101">
        <v>499984.288</v>
      </c>
      <c r="C20" s="85"/>
      <c r="D20" s="99" t="s">
        <v>493</v>
      </c>
      <c r="E20" s="99"/>
      <c r="F20"/>
      <c r="G20"/>
      <c r="H20"/>
      <c r="I20"/>
      <c r="J20"/>
      <c r="K20"/>
      <c r="L20"/>
      <c r="Q20" s="24"/>
      <c r="R20" s="175" t="s">
        <v>571</v>
      </c>
      <c r="S20" s="178">
        <f>AVERAGE(A20:A35)</f>
        <v>100115.19856250001</v>
      </c>
      <c r="T20" s="178">
        <f>$S$23*B20+$S$22</f>
        <v>100115.18311180086</v>
      </c>
      <c r="U20" s="181">
        <f>(T20-A20)^2</f>
        <v>3.5652959992118429E-6</v>
      </c>
    </row>
    <row r="21" spans="1:21" x14ac:dyDescent="0.5">
      <c r="A21" s="100">
        <v>100115.186</v>
      </c>
      <c r="B21" s="101">
        <v>499985.00099999999</v>
      </c>
      <c r="C21" s="85"/>
      <c r="D21" t="s">
        <v>494</v>
      </c>
      <c r="E21">
        <v>0.966265693542669</v>
      </c>
      <c r="F21"/>
      <c r="G21"/>
      <c r="H21"/>
      <c r="I21"/>
      <c r="J21"/>
      <c r="K21"/>
      <c r="L21"/>
      <c r="Q21" s="26"/>
      <c r="R21" s="176" t="s">
        <v>570</v>
      </c>
      <c r="S21" s="179">
        <f>AVERAGE(B20:B35)</f>
        <v>500005.50562500005</v>
      </c>
      <c r="T21" s="179">
        <f t="shared" ref="T21:T35" si="1">$S$23*B21+$S$22</f>
        <v>100115.18363100829</v>
      </c>
      <c r="U21" s="182">
        <f t="shared" ref="U21:U35" si="2">(T21-A21)^2</f>
        <v>5.6121217425175019E-6</v>
      </c>
    </row>
    <row r="22" spans="1:21" x14ac:dyDescent="0.5">
      <c r="A22" s="100">
        <v>100115.189</v>
      </c>
      <c r="B22" s="101">
        <v>499987.63799999998</v>
      </c>
      <c r="C22" s="85"/>
      <c r="D22" t="s">
        <v>495</v>
      </c>
      <c r="E22">
        <v>0.9336693905174952</v>
      </c>
      <c r="F22"/>
      <c r="G22"/>
      <c r="H22"/>
      <c r="I22"/>
      <c r="J22"/>
      <c r="K22"/>
      <c r="L22"/>
      <c r="Q22" s="26"/>
      <c r="R22" s="176" t="s">
        <v>503</v>
      </c>
      <c r="S22" s="185">
        <f>S20-S23*S21</f>
        <v>99751.093972922623</v>
      </c>
      <c r="T22" s="179">
        <f t="shared" si="1"/>
        <v>100115.18555127476</v>
      </c>
      <c r="U22" s="182">
        <f t="shared" si="2"/>
        <v>1.1893705791146924E-5</v>
      </c>
    </row>
    <row r="23" spans="1:21" x14ac:dyDescent="0.5">
      <c r="A23" s="100">
        <v>100115.189</v>
      </c>
      <c r="B23" s="101">
        <v>499987.98</v>
      </c>
      <c r="C23" s="85"/>
      <c r="D23" t="s">
        <v>496</v>
      </c>
      <c r="E23">
        <v>0.92893148984017337</v>
      </c>
      <c r="F23"/>
      <c r="G23"/>
      <c r="H23"/>
      <c r="I23"/>
      <c r="J23"/>
      <c r="K23"/>
      <c r="L23"/>
      <c r="Q23" s="26"/>
      <c r="R23" s="176" t="s">
        <v>550</v>
      </c>
      <c r="S23" s="185">
        <v>7.2820116074975372E-4</v>
      </c>
      <c r="T23" s="179">
        <f t="shared" si="1"/>
        <v>100115.18580031955</v>
      </c>
      <c r="U23" s="182">
        <f t="shared" si="2"/>
        <v>1.0237954959165866E-5</v>
      </c>
    </row>
    <row r="24" spans="1:21" ht="15.7" thickBot="1" x14ac:dyDescent="0.55000000000000004">
      <c r="A24" s="100">
        <v>100115.18700000001</v>
      </c>
      <c r="B24" s="101">
        <v>499988.446</v>
      </c>
      <c r="C24" s="85"/>
      <c r="D24" t="s">
        <v>497</v>
      </c>
      <c r="E24">
        <v>3.6642754260847493E-3</v>
      </c>
      <c r="F24"/>
      <c r="G24"/>
      <c r="H24"/>
      <c r="I24"/>
      <c r="J24"/>
      <c r="K24"/>
      <c r="L24"/>
      <c r="Q24" s="27"/>
      <c r="R24" s="177" t="s">
        <v>572</v>
      </c>
      <c r="S24" s="184">
        <f>SUM(U20:U35)</f>
        <v>1.8797680151657437E-4</v>
      </c>
      <c r="T24" s="179">
        <f t="shared" si="1"/>
        <v>100115.18613966129</v>
      </c>
      <c r="U24" s="182">
        <f t="shared" si="2"/>
        <v>7.4018269675262778E-7</v>
      </c>
    </row>
    <row r="25" spans="1:21" ht="15.7" thickBot="1" x14ac:dyDescent="0.55000000000000004">
      <c r="A25" s="100">
        <v>100115.182</v>
      </c>
      <c r="B25" s="101">
        <v>499994.701</v>
      </c>
      <c r="C25" s="85"/>
      <c r="D25" s="97" t="s">
        <v>498</v>
      </c>
      <c r="E25" s="97">
        <v>16</v>
      </c>
      <c r="F25"/>
      <c r="G25"/>
      <c r="H25"/>
      <c r="I25"/>
      <c r="J25"/>
      <c r="K25"/>
      <c r="L25"/>
      <c r="T25" s="179">
        <f t="shared" si="1"/>
        <v>100115.19069455955</v>
      </c>
      <c r="U25" s="182">
        <f t="shared" si="2"/>
        <v>7.5595365837832654E-5</v>
      </c>
    </row>
    <row r="26" spans="1:21" ht="15.7" thickBot="1" x14ac:dyDescent="0.55000000000000004">
      <c r="A26" s="100">
        <v>100115.192</v>
      </c>
      <c r="B26" s="101">
        <v>499998.08600000001</v>
      </c>
      <c r="C26" s="85"/>
      <c r="D26"/>
      <c r="E26"/>
      <c r="F26"/>
      <c r="G26"/>
      <c r="H26"/>
      <c r="I26"/>
      <c r="J26"/>
      <c r="K26"/>
      <c r="L26"/>
      <c r="O26" s="108" t="s">
        <v>560</v>
      </c>
      <c r="P26" s="156"/>
      <c r="T26" s="179">
        <f t="shared" si="1"/>
        <v>100115.19315952048</v>
      </c>
      <c r="U26" s="182">
        <f t="shared" si="2"/>
        <v>1.3444877553414021E-6</v>
      </c>
    </row>
    <row r="27" spans="1:21" ht="15.7" thickBot="1" x14ac:dyDescent="0.55000000000000004">
      <c r="A27" s="100">
        <v>100115.193</v>
      </c>
      <c r="B27" s="101">
        <v>499999.26899999997</v>
      </c>
      <c r="C27" s="85"/>
      <c r="D27" t="s">
        <v>499</v>
      </c>
      <c r="E27"/>
      <c r="F27"/>
      <c r="G27"/>
      <c r="H27"/>
      <c r="I27"/>
      <c r="J27"/>
      <c r="K27"/>
      <c r="L27"/>
      <c r="O27" s="158" t="s">
        <v>503</v>
      </c>
      <c r="P27" s="134">
        <f>INTERCEPT(A20:A35,B20:B35)</f>
        <v>99751.093972923321</v>
      </c>
      <c r="T27" s="179">
        <f t="shared" si="1"/>
        <v>100115.19402098245</v>
      </c>
      <c r="U27" s="182">
        <f t="shared" si="2"/>
        <v>1.0424051715090666E-6</v>
      </c>
    </row>
    <row r="28" spans="1:21" ht="15.7" thickBot="1" x14ac:dyDescent="0.55000000000000004">
      <c r="A28" s="100">
        <v>100115.197</v>
      </c>
      <c r="B28" s="101">
        <v>500000.46899999998</v>
      </c>
      <c r="C28" s="85"/>
      <c r="D28" s="98"/>
      <c r="E28" s="98" t="s">
        <v>504</v>
      </c>
      <c r="F28" s="98" t="s">
        <v>505</v>
      </c>
      <c r="G28" s="98" t="s">
        <v>506</v>
      </c>
      <c r="H28" s="98" t="s">
        <v>23</v>
      </c>
      <c r="I28" s="98" t="s">
        <v>507</v>
      </c>
      <c r="J28"/>
      <c r="K28"/>
      <c r="L28"/>
      <c r="O28" s="159" t="s">
        <v>550</v>
      </c>
      <c r="P28" s="157">
        <f>SLOPE(A20:A35,B20:B35)</f>
        <v>7.2820116074833277E-4</v>
      </c>
      <c r="T28" s="179">
        <f t="shared" si="1"/>
        <v>100115.19489482384</v>
      </c>
      <c r="U28" s="182">
        <f t="shared" si="2"/>
        <v>4.431766655301013E-6</v>
      </c>
    </row>
    <row r="29" spans="1:21" ht="15.7" thickBot="1" x14ac:dyDescent="0.55000000000000004">
      <c r="A29" s="100">
        <v>100115.20299999999</v>
      </c>
      <c r="B29" s="101">
        <v>500012.54800000001</v>
      </c>
      <c r="C29" s="85"/>
      <c r="D29" t="s">
        <v>500</v>
      </c>
      <c r="E29">
        <v>1</v>
      </c>
      <c r="F29">
        <v>2.6459606978913009E-3</v>
      </c>
      <c r="G29">
        <v>2.6459606978913009E-3</v>
      </c>
      <c r="H29">
        <v>197.06394331703839</v>
      </c>
      <c r="I29">
        <v>1.2193225029810713E-9</v>
      </c>
      <c r="J29"/>
      <c r="K29"/>
      <c r="L29"/>
      <c r="O29" s="484" t="s">
        <v>573</v>
      </c>
      <c r="P29" s="485"/>
      <c r="T29" s="179">
        <f t="shared" si="1"/>
        <v>100115.20369076566</v>
      </c>
      <c r="U29" s="182">
        <f t="shared" si="2"/>
        <v>4.7715720301821072E-7</v>
      </c>
    </row>
    <row r="30" spans="1:21" x14ac:dyDescent="0.5">
      <c r="A30" s="100">
        <v>100115.204</v>
      </c>
      <c r="B30" s="101">
        <v>500013.15500000003</v>
      </c>
      <c r="C30" s="85"/>
      <c r="D30" t="s">
        <v>501</v>
      </c>
      <c r="E30">
        <v>14</v>
      </c>
      <c r="F30">
        <v>1.8797680157492001E-4</v>
      </c>
      <c r="G30">
        <v>1.3426914398208573E-5</v>
      </c>
      <c r="H30"/>
      <c r="I30"/>
      <c r="J30"/>
      <c r="K30"/>
      <c r="L30"/>
      <c r="O30" s="186" cm="1">
        <f t="array" ref="O30:P34">LINEST(A20:A35,B20:B35,TRUE,TRUE)</f>
        <v>7.2820116074833309E-4</v>
      </c>
      <c r="P30" s="187">
        <v>99751.093972923321</v>
      </c>
      <c r="T30" s="179">
        <f t="shared" si="1"/>
        <v>100115.20413278377</v>
      </c>
      <c r="U30" s="182">
        <f t="shared" si="2"/>
        <v>1.7631528827886473E-8</v>
      </c>
    </row>
    <row r="31" spans="1:21" ht="15.7" thickBot="1" x14ac:dyDescent="0.55000000000000004">
      <c r="A31" s="100">
        <v>100115.198</v>
      </c>
      <c r="B31" s="101">
        <v>500014.16200000001</v>
      </c>
      <c r="C31" s="85"/>
      <c r="D31" s="97" t="s">
        <v>502</v>
      </c>
      <c r="E31" s="97">
        <v>15</v>
      </c>
      <c r="F31" s="97">
        <v>2.8339374994662209E-3</v>
      </c>
      <c r="G31" s="97"/>
      <c r="H31" s="97"/>
      <c r="I31" s="97"/>
      <c r="J31"/>
      <c r="K31"/>
      <c r="L31"/>
      <c r="O31" s="172">
        <v>5.187376645140247E-5</v>
      </c>
      <c r="P31" s="173">
        <v>25.937168839383865</v>
      </c>
      <c r="T31" s="179">
        <f t="shared" si="1"/>
        <v>100115.20486608233</v>
      </c>
      <c r="U31" s="182">
        <f t="shared" si="2"/>
        <v>4.7143086573549516E-5</v>
      </c>
    </row>
    <row r="32" spans="1:21" ht="15.7" thickBot="1" x14ac:dyDescent="0.55000000000000004">
      <c r="A32" s="100">
        <v>100115.204</v>
      </c>
      <c r="B32" s="101">
        <v>500016.45799999998</v>
      </c>
      <c r="C32" s="85"/>
      <c r="D32"/>
      <c r="E32"/>
      <c r="F32"/>
      <c r="G32"/>
      <c r="H32"/>
      <c r="I32"/>
      <c r="J32"/>
      <c r="K32"/>
      <c r="L32"/>
      <c r="O32" s="172">
        <v>0.9336693905174952</v>
      </c>
      <c r="P32" s="173">
        <v>3.6642754260847493E-3</v>
      </c>
      <c r="T32" s="179">
        <f t="shared" si="1"/>
        <v>100115.2065380322</v>
      </c>
      <c r="U32" s="182">
        <f t="shared" si="2"/>
        <v>6.4416074686890662E-6</v>
      </c>
    </row>
    <row r="33" spans="1:21" x14ac:dyDescent="0.5">
      <c r="A33" s="100">
        <v>100115.22199999999</v>
      </c>
      <c r="B33" s="101">
        <v>500034.94</v>
      </c>
      <c r="C33" s="85"/>
      <c r="D33" s="98"/>
      <c r="E33" s="98" t="s">
        <v>508</v>
      </c>
      <c r="F33" s="98" t="s">
        <v>497</v>
      </c>
      <c r="G33" s="98" t="s">
        <v>509</v>
      </c>
      <c r="H33" s="98" t="s">
        <v>510</v>
      </c>
      <c r="I33" s="98" t="s">
        <v>511</v>
      </c>
      <c r="J33" s="98" t="s">
        <v>512</v>
      </c>
      <c r="K33" s="98" t="s">
        <v>513</v>
      </c>
      <c r="L33" s="98" t="s">
        <v>514</v>
      </c>
      <c r="O33" s="172">
        <v>197.06394331703839</v>
      </c>
      <c r="P33" s="173">
        <v>14</v>
      </c>
      <c r="T33" s="179">
        <f t="shared" si="1"/>
        <v>100115.21999664606</v>
      </c>
      <c r="U33" s="182">
        <f t="shared" si="2"/>
        <v>4.0134269812882554E-6</v>
      </c>
    </row>
    <row r="34" spans="1:21" ht="15.7" thickBot="1" x14ac:dyDescent="0.55000000000000004">
      <c r="A34" s="100">
        <v>100115.22199999999</v>
      </c>
      <c r="B34" s="101">
        <v>500035.38699999999</v>
      </c>
      <c r="C34" s="85"/>
      <c r="D34" t="s">
        <v>503</v>
      </c>
      <c r="E34" s="114">
        <v>99751.093972923321</v>
      </c>
      <c r="F34">
        <v>25.937168839383865</v>
      </c>
      <c r="G34">
        <v>3845.8744125325629</v>
      </c>
      <c r="H34">
        <v>1.4259014714063211E-43</v>
      </c>
      <c r="I34">
        <v>99695.464278474334</v>
      </c>
      <c r="J34">
        <v>99806.723667372309</v>
      </c>
      <c r="K34">
        <v>99695.464278474334</v>
      </c>
      <c r="L34">
        <v>99806.723667372309</v>
      </c>
      <c r="O34" s="159">
        <v>2.6459606978913009E-3</v>
      </c>
      <c r="P34" s="174">
        <v>1.8797680157492001E-4</v>
      </c>
      <c r="T34" s="179">
        <f t="shared" si="1"/>
        <v>100115.22032215197</v>
      </c>
      <c r="U34" s="182">
        <f t="shared" si="2"/>
        <v>2.8151739793442913E-6</v>
      </c>
    </row>
    <row r="35" spans="1:21" ht="15.7" thickBot="1" x14ac:dyDescent="0.55000000000000004">
      <c r="A35" s="100">
        <v>100115.224</v>
      </c>
      <c r="B35" s="101">
        <v>500035.56199999998</v>
      </c>
      <c r="C35" s="85"/>
      <c r="D35" s="97" t="s">
        <v>491</v>
      </c>
      <c r="E35" s="115">
        <v>7.2820116074833309E-4</v>
      </c>
      <c r="F35" s="97">
        <v>5.187376645140247E-5</v>
      </c>
      <c r="G35" s="97">
        <v>14.037946549158766</v>
      </c>
      <c r="H35" s="97">
        <v>1.2193225029810668E-9</v>
      </c>
      <c r="I35" s="97">
        <v>6.1694299701120785E-4</v>
      </c>
      <c r="J35" s="97">
        <v>8.3945932448545833E-4</v>
      </c>
      <c r="K35" s="97">
        <v>6.1694299701120785E-4</v>
      </c>
      <c r="L35" s="97">
        <v>8.3945932448545833E-4</v>
      </c>
      <c r="T35" s="180">
        <f t="shared" si="1"/>
        <v>100115.22044958718</v>
      </c>
      <c r="U35" s="183">
        <f t="shared" si="2"/>
        <v>1.2605431173078292E-5</v>
      </c>
    </row>
    <row r="37" spans="1:21" x14ac:dyDescent="0.5">
      <c r="A37" s="7" t="s">
        <v>531</v>
      </c>
      <c r="B37" s="7"/>
      <c r="D37" t="s">
        <v>492</v>
      </c>
      <c r="E37"/>
      <c r="F37"/>
      <c r="G37"/>
      <c r="H37"/>
      <c r="I37"/>
      <c r="J37"/>
      <c r="K37"/>
      <c r="L37"/>
    </row>
    <row r="38" spans="1:21" ht="15.7" thickBot="1" x14ac:dyDescent="0.55000000000000004">
      <c r="A38" s="90" t="s">
        <v>516</v>
      </c>
      <c r="B38" s="90" t="s">
        <v>515</v>
      </c>
      <c r="D38"/>
      <c r="E38"/>
      <c r="F38"/>
      <c r="G38"/>
      <c r="H38"/>
      <c r="I38"/>
      <c r="J38"/>
      <c r="K38"/>
      <c r="L38"/>
    </row>
    <row r="39" spans="1:21" x14ac:dyDescent="0.5">
      <c r="A39" s="92">
        <v>100016.61199999999</v>
      </c>
      <c r="B39" s="92">
        <v>499884.78200000001</v>
      </c>
      <c r="D39" s="99" t="s">
        <v>493</v>
      </c>
      <c r="E39" s="99"/>
      <c r="F39"/>
      <c r="G39"/>
      <c r="H39"/>
      <c r="I39"/>
      <c r="J39"/>
      <c r="K39"/>
      <c r="L39"/>
    </row>
    <row r="40" spans="1:21" x14ac:dyDescent="0.5">
      <c r="A40" s="92">
        <v>100015.961</v>
      </c>
      <c r="B40" s="92">
        <v>499884.78</v>
      </c>
      <c r="D40" t="s">
        <v>494</v>
      </c>
      <c r="E40">
        <v>0.94324219358830919</v>
      </c>
      <c r="F40"/>
      <c r="G40"/>
      <c r="H40"/>
      <c r="I40"/>
      <c r="J40"/>
      <c r="K40"/>
      <c r="L40"/>
    </row>
    <row r="41" spans="1:21" x14ac:dyDescent="0.5">
      <c r="A41" s="92">
        <v>100013.716</v>
      </c>
      <c r="B41" s="92">
        <v>499884.79499999998</v>
      </c>
      <c r="D41" t="s">
        <v>495</v>
      </c>
      <c r="E41">
        <v>0.88970583576528528</v>
      </c>
      <c r="F41"/>
      <c r="G41"/>
      <c r="H41"/>
      <c r="I41"/>
      <c r="J41"/>
      <c r="K41"/>
      <c r="L41"/>
    </row>
    <row r="42" spans="1:21" x14ac:dyDescent="0.5">
      <c r="A42" s="92">
        <v>100010.023</v>
      </c>
      <c r="B42" s="92">
        <v>499884.77299999999</v>
      </c>
      <c r="D42" t="s">
        <v>496</v>
      </c>
      <c r="E42">
        <v>0.88576675847118835</v>
      </c>
      <c r="F42"/>
      <c r="G42"/>
      <c r="H42"/>
      <c r="I42"/>
      <c r="J42"/>
      <c r="K42"/>
      <c r="L42"/>
    </row>
    <row r="43" spans="1:21" x14ac:dyDescent="0.5">
      <c r="A43" s="92">
        <v>100009.693</v>
      </c>
      <c r="B43" s="92">
        <v>499884.77399999998</v>
      </c>
      <c r="D43" t="s">
        <v>497</v>
      </c>
      <c r="E43">
        <v>7.8438023993566072E-3</v>
      </c>
      <c r="F43"/>
      <c r="G43"/>
      <c r="H43"/>
      <c r="I43"/>
      <c r="J43"/>
      <c r="K43"/>
      <c r="L43"/>
    </row>
    <row r="44" spans="1:21" ht="15.7" thickBot="1" x14ac:dyDescent="0.55000000000000004">
      <c r="A44" s="92">
        <v>100009.367</v>
      </c>
      <c r="B44" s="92">
        <v>499884.772</v>
      </c>
      <c r="D44" s="97" t="s">
        <v>498</v>
      </c>
      <c r="E44" s="97">
        <v>30</v>
      </c>
      <c r="F44"/>
      <c r="G44"/>
      <c r="H44"/>
      <c r="I44"/>
      <c r="J44"/>
      <c r="K44"/>
      <c r="L44"/>
    </row>
    <row r="45" spans="1:21" x14ac:dyDescent="0.5">
      <c r="A45" s="92">
        <v>100009.08900000001</v>
      </c>
      <c r="B45" s="92">
        <v>499884.77399999998</v>
      </c>
      <c r="D45"/>
      <c r="E45"/>
      <c r="F45"/>
      <c r="G45"/>
      <c r="H45"/>
      <c r="I45"/>
      <c r="J45"/>
      <c r="K45"/>
      <c r="L45"/>
    </row>
    <row r="46" spans="1:21" ht="15.7" thickBot="1" x14ac:dyDescent="0.55000000000000004">
      <c r="A46" s="92">
        <v>100008.52099999999</v>
      </c>
      <c r="B46" s="92">
        <v>499884.772</v>
      </c>
      <c r="D46" t="s">
        <v>499</v>
      </c>
      <c r="E46"/>
      <c r="F46"/>
      <c r="G46"/>
      <c r="H46"/>
      <c r="I46"/>
      <c r="J46"/>
      <c r="K46"/>
      <c r="L46"/>
    </row>
    <row r="47" spans="1:21" x14ac:dyDescent="0.5">
      <c r="A47" s="92">
        <v>100005.697</v>
      </c>
      <c r="B47" s="92">
        <v>499884.788</v>
      </c>
      <c r="D47" s="98"/>
      <c r="E47" s="98" t="s">
        <v>504</v>
      </c>
      <c r="F47" s="98" t="s">
        <v>505</v>
      </c>
      <c r="G47" s="98" t="s">
        <v>506</v>
      </c>
      <c r="H47" s="98" t="s">
        <v>23</v>
      </c>
      <c r="I47" s="98" t="s">
        <v>507</v>
      </c>
      <c r="J47"/>
      <c r="K47"/>
      <c r="L47"/>
    </row>
    <row r="48" spans="1:21" ht="15.7" thickBot="1" x14ac:dyDescent="0.55000000000000004">
      <c r="A48" s="92">
        <v>99999.351999999999</v>
      </c>
      <c r="B48" s="92">
        <v>499884.78499999997</v>
      </c>
      <c r="D48" t="s">
        <v>500</v>
      </c>
      <c r="E48">
        <v>1</v>
      </c>
      <c r="F48">
        <v>1.3896493391835747E-2</v>
      </c>
      <c r="G48">
        <v>1.3896493391835747E-2</v>
      </c>
      <c r="H48">
        <v>225.86655943476566</v>
      </c>
      <c r="I48">
        <v>6.2204061698142417E-15</v>
      </c>
      <c r="J48"/>
      <c r="K48"/>
      <c r="L48"/>
    </row>
    <row r="49" spans="1:16" ht="15.7" thickBot="1" x14ac:dyDescent="0.55000000000000004">
      <c r="A49" s="92">
        <v>99998.932000000001</v>
      </c>
      <c r="B49" s="92">
        <v>499884.78499999997</v>
      </c>
      <c r="D49" t="s">
        <v>501</v>
      </c>
      <c r="E49">
        <v>28</v>
      </c>
      <c r="F49">
        <v>1.7227066102442695E-3</v>
      </c>
      <c r="G49">
        <v>6.1525236080152475E-5</v>
      </c>
      <c r="H49"/>
      <c r="I49"/>
      <c r="J49"/>
      <c r="K49"/>
      <c r="L49"/>
      <c r="O49" s="108" t="s">
        <v>560</v>
      </c>
      <c r="P49" s="156"/>
    </row>
    <row r="50" spans="1:16" ht="15.7" thickBot="1" x14ac:dyDescent="0.55000000000000004">
      <c r="A50" s="92">
        <v>99998.483999999997</v>
      </c>
      <c r="B50" s="92">
        <v>499884.783</v>
      </c>
      <c r="D50" s="97" t="s">
        <v>502</v>
      </c>
      <c r="E50" s="97">
        <v>29</v>
      </c>
      <c r="F50" s="97">
        <v>1.5619200002080016E-2</v>
      </c>
      <c r="G50" s="97"/>
      <c r="H50" s="97"/>
      <c r="I50" s="97"/>
      <c r="J50"/>
      <c r="K50"/>
      <c r="L50"/>
      <c r="O50" s="158" t="s">
        <v>503</v>
      </c>
      <c r="P50" s="134">
        <f>INTERCEPT(B39:B68,A39:A68)</f>
        <v>500011.37436033355</v>
      </c>
    </row>
    <row r="51" spans="1:16" ht="15.7" thickBot="1" x14ac:dyDescent="0.55000000000000004">
      <c r="A51" s="92">
        <v>99997.989000000001</v>
      </c>
      <c r="B51" s="92">
        <v>499884.77500000002</v>
      </c>
      <c r="D51"/>
      <c r="E51"/>
      <c r="F51"/>
      <c r="G51"/>
      <c r="H51"/>
      <c r="I51"/>
      <c r="J51"/>
      <c r="K51"/>
      <c r="L51"/>
      <c r="O51" s="159" t="s">
        <v>550</v>
      </c>
      <c r="P51" s="157">
        <f>SLOPE(B39:B68,A39:A68)</f>
        <v>-1.2658390633562646E-3</v>
      </c>
    </row>
    <row r="52" spans="1:16" x14ac:dyDescent="0.5">
      <c r="A52" s="92">
        <v>99989.275999999998</v>
      </c>
      <c r="B52" s="92">
        <v>499884.79399999999</v>
      </c>
      <c r="D52" s="98"/>
      <c r="E52" s="98" t="s">
        <v>508</v>
      </c>
      <c r="F52" s="98" t="s">
        <v>497</v>
      </c>
      <c r="G52" s="98" t="s">
        <v>509</v>
      </c>
      <c r="H52" s="98" t="s">
        <v>510</v>
      </c>
      <c r="I52" s="98" t="s">
        <v>511</v>
      </c>
      <c r="J52" s="98" t="s">
        <v>512</v>
      </c>
      <c r="K52" s="98" t="s">
        <v>513</v>
      </c>
      <c r="L52" s="98" t="s">
        <v>514</v>
      </c>
    </row>
    <row r="53" spans="1:16" x14ac:dyDescent="0.5">
      <c r="A53" s="92">
        <v>99982.202000000005</v>
      </c>
      <c r="B53" s="92">
        <v>499884.81699999998</v>
      </c>
      <c r="D53" t="s">
        <v>503</v>
      </c>
      <c r="E53" s="114">
        <v>500011.37436033355</v>
      </c>
      <c r="F53">
        <v>8.4217953156330907</v>
      </c>
      <c r="G53">
        <v>59371.114545158744</v>
      </c>
      <c r="H53">
        <v>5.9510141268252621E-115</v>
      </c>
      <c r="I53">
        <v>499994.12309466227</v>
      </c>
      <c r="J53">
        <v>500028.62562600482</v>
      </c>
      <c r="K53">
        <v>499994.12309466227</v>
      </c>
      <c r="L53">
        <v>500028.62562600482</v>
      </c>
    </row>
    <row r="54" spans="1:16" ht="15.7" thickBot="1" x14ac:dyDescent="0.55000000000000004">
      <c r="A54" s="92">
        <v>99980.771999999997</v>
      </c>
      <c r="B54" s="92">
        <v>499884.821</v>
      </c>
      <c r="D54" s="97" t="s">
        <v>516</v>
      </c>
      <c r="E54" s="115">
        <v>-1.2658390633562648E-3</v>
      </c>
      <c r="F54" s="97">
        <v>8.4227231421291451E-5</v>
      </c>
      <c r="G54" s="97">
        <v>-15.028857555874485</v>
      </c>
      <c r="H54" s="97">
        <v>6.2204061698142851E-15</v>
      </c>
      <c r="I54" s="97">
        <v>-1.438370725733279E-3</v>
      </c>
      <c r="J54" s="97">
        <v>-1.0933074009792506E-3</v>
      </c>
      <c r="K54" s="97">
        <v>-1.438370725733279E-3</v>
      </c>
      <c r="L54" s="97">
        <v>-1.0933074009792506E-3</v>
      </c>
    </row>
    <row r="55" spans="1:16" x14ac:dyDescent="0.5">
      <c r="A55" s="92">
        <v>99979.260999999999</v>
      </c>
      <c r="B55" s="92">
        <v>499884.821</v>
      </c>
      <c r="D55"/>
      <c r="E55"/>
      <c r="F55"/>
      <c r="G55"/>
      <c r="H55"/>
      <c r="I55"/>
      <c r="J55"/>
      <c r="K55"/>
      <c r="L55"/>
    </row>
    <row r="56" spans="1:16" x14ac:dyDescent="0.5">
      <c r="A56" s="92">
        <v>99978.770999999993</v>
      </c>
      <c r="B56" s="92">
        <v>499884.821</v>
      </c>
      <c r="D56"/>
      <c r="E56"/>
      <c r="F56"/>
      <c r="G56"/>
      <c r="H56"/>
      <c r="I56"/>
      <c r="J56"/>
      <c r="K56"/>
      <c r="L56"/>
    </row>
    <row r="57" spans="1:16" x14ac:dyDescent="0.5">
      <c r="A57" s="92">
        <v>99977.625</v>
      </c>
      <c r="B57" s="92">
        <v>499884.82500000001</v>
      </c>
      <c r="D57"/>
      <c r="E57"/>
      <c r="F57"/>
      <c r="G57"/>
      <c r="H57"/>
      <c r="I57"/>
      <c r="J57"/>
      <c r="K57"/>
      <c r="L57"/>
    </row>
    <row r="58" spans="1:16" x14ac:dyDescent="0.5">
      <c r="A58" s="92">
        <v>99976.785000000003</v>
      </c>
      <c r="B58" s="92">
        <v>499884.82299999997</v>
      </c>
      <c r="D58"/>
      <c r="E58"/>
      <c r="F58"/>
      <c r="G58"/>
      <c r="H58"/>
      <c r="I58"/>
      <c r="J58"/>
      <c r="K58"/>
      <c r="L58"/>
    </row>
    <row r="59" spans="1:16" x14ac:dyDescent="0.5">
      <c r="A59" s="92">
        <v>99975.987999999998</v>
      </c>
      <c r="B59" s="92">
        <v>499884.82299999997</v>
      </c>
      <c r="D59"/>
      <c r="E59"/>
      <c r="F59"/>
      <c r="G59"/>
      <c r="H59"/>
      <c r="I59"/>
      <c r="J59"/>
      <c r="K59"/>
      <c r="L59"/>
    </row>
    <row r="60" spans="1:16" x14ac:dyDescent="0.5">
      <c r="A60" s="92">
        <v>99974.145999999993</v>
      </c>
      <c r="B60" s="92">
        <v>499884.826</v>
      </c>
      <c r="D60"/>
      <c r="E60"/>
      <c r="F60"/>
      <c r="G60"/>
      <c r="H60"/>
      <c r="I60"/>
      <c r="J60"/>
      <c r="K60"/>
      <c r="L60"/>
    </row>
    <row r="61" spans="1:16" x14ac:dyDescent="0.5">
      <c r="A61" s="92">
        <v>99972.876000000004</v>
      </c>
      <c r="B61" s="92">
        <v>499884.82699999999</v>
      </c>
      <c r="D61"/>
      <c r="E61"/>
      <c r="F61"/>
      <c r="G61"/>
      <c r="H61"/>
      <c r="I61"/>
      <c r="J61"/>
      <c r="K61"/>
      <c r="L61"/>
    </row>
    <row r="62" spans="1:16" x14ac:dyDescent="0.5">
      <c r="A62" s="92">
        <v>99971.968999999997</v>
      </c>
      <c r="B62" s="92">
        <v>499884.82900000003</v>
      </c>
      <c r="D62"/>
      <c r="E62"/>
      <c r="F62"/>
      <c r="G62"/>
      <c r="H62"/>
      <c r="I62"/>
      <c r="J62"/>
      <c r="K62"/>
      <c r="L62"/>
    </row>
    <row r="63" spans="1:16" x14ac:dyDescent="0.5">
      <c r="A63" s="92">
        <v>99971.006999999998</v>
      </c>
      <c r="B63" s="92">
        <v>499884.826</v>
      </c>
      <c r="D63"/>
      <c r="E63"/>
      <c r="F63"/>
      <c r="G63"/>
      <c r="H63"/>
      <c r="I63"/>
      <c r="J63"/>
      <c r="K63"/>
      <c r="L63"/>
    </row>
    <row r="64" spans="1:16" x14ac:dyDescent="0.5">
      <c r="A64" s="92">
        <v>99970.53</v>
      </c>
      <c r="B64" s="92">
        <v>499884.82500000001</v>
      </c>
      <c r="D64"/>
      <c r="E64"/>
      <c r="F64"/>
      <c r="G64"/>
      <c r="H64"/>
      <c r="I64"/>
      <c r="J64"/>
      <c r="K64"/>
      <c r="L64"/>
    </row>
    <row r="65" spans="1:12" x14ac:dyDescent="0.5">
      <c r="A65" s="92">
        <v>99969.801999999996</v>
      </c>
      <c r="B65" s="92">
        <v>499884.82400000002</v>
      </c>
      <c r="D65"/>
      <c r="E65"/>
      <c r="F65"/>
      <c r="G65"/>
      <c r="H65"/>
      <c r="I65"/>
      <c r="J65"/>
      <c r="K65"/>
      <c r="L65"/>
    </row>
    <row r="66" spans="1:12" x14ac:dyDescent="0.5">
      <c r="A66" s="92">
        <v>99969.184999999998</v>
      </c>
      <c r="B66" s="92">
        <v>499884.83</v>
      </c>
      <c r="D66"/>
      <c r="E66"/>
      <c r="F66"/>
      <c r="G66"/>
      <c r="H66"/>
      <c r="I66"/>
      <c r="J66"/>
      <c r="K66"/>
      <c r="L66"/>
    </row>
    <row r="67" spans="1:12" x14ac:dyDescent="0.5">
      <c r="A67" s="92">
        <v>99968.665999999997</v>
      </c>
      <c r="B67" s="92">
        <v>499884.82799999998</v>
      </c>
      <c r="D67"/>
      <c r="E67"/>
      <c r="F67"/>
      <c r="G67"/>
      <c r="H67"/>
      <c r="I67"/>
      <c r="J67"/>
      <c r="K67"/>
      <c r="L67"/>
    </row>
    <row r="68" spans="1:12" x14ac:dyDescent="0.5">
      <c r="A68" s="92">
        <v>99967.187000000005</v>
      </c>
      <c r="B68" s="92">
        <v>499884.83399999997</v>
      </c>
      <c r="D68"/>
      <c r="E68"/>
      <c r="F68"/>
      <c r="G68"/>
      <c r="H68"/>
      <c r="I68"/>
      <c r="J68"/>
      <c r="K68"/>
      <c r="L68"/>
    </row>
    <row r="69" spans="1:12" x14ac:dyDescent="0.5">
      <c r="D69"/>
      <c r="E69"/>
      <c r="F69"/>
      <c r="G69"/>
      <c r="H69"/>
      <c r="I69"/>
      <c r="J69"/>
      <c r="K69"/>
      <c r="L69"/>
    </row>
    <row r="70" spans="1:12" x14ac:dyDescent="0.5">
      <c r="A70" s="7" t="s">
        <v>532</v>
      </c>
      <c r="B70" s="7"/>
      <c r="D70" t="s">
        <v>492</v>
      </c>
      <c r="E70"/>
      <c r="F70"/>
      <c r="G70"/>
      <c r="H70"/>
      <c r="I70"/>
      <c r="J70"/>
      <c r="K70"/>
      <c r="L70"/>
    </row>
    <row r="71" spans="1:12" ht="15.7" thickBot="1" x14ac:dyDescent="0.55000000000000004">
      <c r="A71" s="90" t="s">
        <v>517</v>
      </c>
      <c r="B71" s="90" t="s">
        <v>515</v>
      </c>
      <c r="D71"/>
      <c r="E71"/>
      <c r="F71"/>
      <c r="G71"/>
      <c r="H71"/>
      <c r="I71"/>
      <c r="J71"/>
      <c r="K71"/>
      <c r="L71"/>
    </row>
    <row r="72" spans="1:12" x14ac:dyDescent="0.5">
      <c r="A72" s="89">
        <v>99972.509000000005</v>
      </c>
      <c r="B72" s="89">
        <v>500115.18800000002</v>
      </c>
      <c r="D72" s="99" t="s">
        <v>493</v>
      </c>
      <c r="E72" s="99"/>
      <c r="F72"/>
      <c r="G72"/>
      <c r="H72"/>
      <c r="I72"/>
      <c r="J72"/>
      <c r="K72"/>
      <c r="L72"/>
    </row>
    <row r="73" spans="1:12" x14ac:dyDescent="0.5">
      <c r="A73" s="89">
        <v>99972.74</v>
      </c>
      <c r="B73" s="89">
        <v>500115.18900000001</v>
      </c>
      <c r="D73" t="s">
        <v>494</v>
      </c>
      <c r="E73">
        <v>0.85168874105604608</v>
      </c>
      <c r="F73"/>
      <c r="G73"/>
      <c r="H73"/>
      <c r="I73"/>
      <c r="J73"/>
      <c r="K73"/>
      <c r="L73"/>
    </row>
    <row r="74" spans="1:12" x14ac:dyDescent="0.5">
      <c r="A74" s="89">
        <v>99973.213000000003</v>
      </c>
      <c r="B74" s="89">
        <v>500115.18599999999</v>
      </c>
      <c r="D74" t="s">
        <v>495</v>
      </c>
      <c r="E74">
        <v>0.72537371164163278</v>
      </c>
      <c r="F74"/>
      <c r="G74"/>
      <c r="H74"/>
      <c r="I74"/>
      <c r="J74"/>
      <c r="K74"/>
      <c r="L74"/>
    </row>
    <row r="75" spans="1:12" x14ac:dyDescent="0.5">
      <c r="A75" s="89">
        <v>99973.471000000005</v>
      </c>
      <c r="B75" s="89">
        <v>500115.19</v>
      </c>
      <c r="D75" t="s">
        <v>496</v>
      </c>
      <c r="E75">
        <v>0.71343343823474714</v>
      </c>
      <c r="F75"/>
      <c r="G75"/>
      <c r="H75"/>
      <c r="I75"/>
      <c r="J75"/>
      <c r="K75"/>
      <c r="L75"/>
    </row>
    <row r="76" spans="1:12" x14ac:dyDescent="0.5">
      <c r="A76" s="89">
        <v>99973.733999999997</v>
      </c>
      <c r="B76" s="89">
        <v>500115.18800000002</v>
      </c>
      <c r="D76" t="s">
        <v>497</v>
      </c>
      <c r="E76">
        <v>4.6654732717035978E-3</v>
      </c>
      <c r="F76"/>
      <c r="G76"/>
      <c r="H76"/>
      <c r="I76"/>
      <c r="J76"/>
      <c r="K76"/>
      <c r="L76"/>
    </row>
    <row r="77" spans="1:12" ht="15.7" thickBot="1" x14ac:dyDescent="0.55000000000000004">
      <c r="A77" s="89">
        <v>99975.482999999993</v>
      </c>
      <c r="B77" s="89">
        <v>500115.17800000001</v>
      </c>
      <c r="D77" s="97" t="s">
        <v>498</v>
      </c>
      <c r="E77" s="97">
        <v>25</v>
      </c>
      <c r="F77"/>
      <c r="G77"/>
      <c r="H77"/>
      <c r="I77"/>
      <c r="J77"/>
      <c r="K77"/>
      <c r="L77"/>
    </row>
    <row r="78" spans="1:12" x14ac:dyDescent="0.5">
      <c r="A78" s="89">
        <v>99975.911999999997</v>
      </c>
      <c r="B78" s="89">
        <v>500115.17700000003</v>
      </c>
      <c r="D78"/>
      <c r="E78"/>
      <c r="F78"/>
      <c r="G78"/>
      <c r="H78"/>
      <c r="I78"/>
      <c r="J78"/>
      <c r="K78"/>
      <c r="L78"/>
    </row>
    <row r="79" spans="1:12" ht="15.7" thickBot="1" x14ac:dyDescent="0.55000000000000004">
      <c r="A79" s="89">
        <v>99979.168000000005</v>
      </c>
      <c r="B79" s="89">
        <v>500115.18599999999</v>
      </c>
      <c r="D79" t="s">
        <v>499</v>
      </c>
      <c r="E79"/>
      <c r="F79"/>
      <c r="G79"/>
      <c r="H79"/>
      <c r="I79"/>
      <c r="J79"/>
      <c r="K79"/>
      <c r="L79"/>
    </row>
    <row r="80" spans="1:12" x14ac:dyDescent="0.5">
      <c r="A80" s="89">
        <v>99980.021999999997</v>
      </c>
      <c r="B80" s="89">
        <v>500115.17</v>
      </c>
      <c r="D80" s="98"/>
      <c r="E80" s="98" t="s">
        <v>504</v>
      </c>
      <c r="F80" s="98" t="s">
        <v>505</v>
      </c>
      <c r="G80" s="98" t="s">
        <v>506</v>
      </c>
      <c r="H80" s="98" t="s">
        <v>23</v>
      </c>
      <c r="I80" s="98" t="s">
        <v>507</v>
      </c>
      <c r="J80"/>
      <c r="K80"/>
      <c r="L80"/>
    </row>
    <row r="81" spans="1:16" ht="15.7" thickBot="1" x14ac:dyDescent="0.55000000000000004">
      <c r="A81" s="89">
        <v>99980.494000000006</v>
      </c>
      <c r="B81" s="89">
        <v>500115.17300000001</v>
      </c>
      <c r="D81" t="s">
        <v>500</v>
      </c>
      <c r="E81">
        <v>1</v>
      </c>
      <c r="F81">
        <v>1.3223272637534883E-3</v>
      </c>
      <c r="G81">
        <v>1.3223272637534883E-3</v>
      </c>
      <c r="H81">
        <v>60.750176057387044</v>
      </c>
      <c r="I81">
        <v>6.6872418950306711E-8</v>
      </c>
      <c r="J81"/>
      <c r="K81"/>
      <c r="L81"/>
    </row>
    <row r="82" spans="1:16" ht="15.7" thickBot="1" x14ac:dyDescent="0.55000000000000004">
      <c r="A82" s="89">
        <v>99980.733999999997</v>
      </c>
      <c r="B82" s="89">
        <v>500115.174</v>
      </c>
      <c r="D82" t="s">
        <v>501</v>
      </c>
      <c r="E82">
        <v>23</v>
      </c>
      <c r="F82">
        <v>5.0063273952655543E-4</v>
      </c>
      <c r="G82">
        <v>2.1766640848980671E-5</v>
      </c>
      <c r="H82"/>
      <c r="I82"/>
      <c r="J82"/>
      <c r="K82"/>
      <c r="L82"/>
      <c r="O82" s="108" t="s">
        <v>560</v>
      </c>
      <c r="P82" s="156"/>
    </row>
    <row r="83" spans="1:16" ht="15.7" thickBot="1" x14ac:dyDescent="0.55000000000000004">
      <c r="A83" s="89">
        <v>99980.926000000007</v>
      </c>
      <c r="B83" s="89">
        <v>500115.17800000001</v>
      </c>
      <c r="D83" s="97" t="s">
        <v>502</v>
      </c>
      <c r="E83" s="97">
        <v>24</v>
      </c>
      <c r="F83" s="97">
        <v>1.8229600032800438E-3</v>
      </c>
      <c r="G83" s="97"/>
      <c r="H83" s="97"/>
      <c r="I83" s="97"/>
      <c r="J83"/>
      <c r="K83"/>
      <c r="L83"/>
      <c r="O83" s="158" t="s">
        <v>503</v>
      </c>
      <c r="P83" s="134">
        <f>INTERCEPT(B72:B96,A72:A96)</f>
        <v>500263.06223796454</v>
      </c>
    </row>
    <row r="84" spans="1:16" ht="15.7" thickBot="1" x14ac:dyDescent="0.55000000000000004">
      <c r="A84" s="89">
        <v>99981.186000000002</v>
      </c>
      <c r="B84" s="89">
        <v>500115.17700000003</v>
      </c>
      <c r="D84"/>
      <c r="E84"/>
      <c r="F84"/>
      <c r="G84"/>
      <c r="H84"/>
      <c r="I84"/>
      <c r="J84"/>
      <c r="K84"/>
      <c r="L84"/>
      <c r="O84" s="159" t="s">
        <v>550</v>
      </c>
      <c r="P84" s="157">
        <f>SLOPE(B72:B96,A72:A96)</f>
        <v>-1.4791472858560408E-3</v>
      </c>
    </row>
    <row r="85" spans="1:16" x14ac:dyDescent="0.5">
      <c r="A85" s="89">
        <v>99981.555999999997</v>
      </c>
      <c r="B85" s="89">
        <v>500115.17499999999</v>
      </c>
      <c r="D85" s="98"/>
      <c r="E85" s="98" t="s">
        <v>508</v>
      </c>
      <c r="F85" s="98" t="s">
        <v>497</v>
      </c>
      <c r="G85" s="98" t="s">
        <v>509</v>
      </c>
      <c r="H85" s="98" t="s">
        <v>510</v>
      </c>
      <c r="I85" s="98" t="s">
        <v>511</v>
      </c>
      <c r="J85" s="98" t="s">
        <v>512</v>
      </c>
      <c r="K85" s="98" t="s">
        <v>513</v>
      </c>
      <c r="L85" s="98" t="s">
        <v>514</v>
      </c>
    </row>
    <row r="86" spans="1:16" x14ac:dyDescent="0.5">
      <c r="A86" s="89">
        <v>99982.42</v>
      </c>
      <c r="B86" s="89">
        <v>500115.18900000001</v>
      </c>
      <c r="D86" t="s">
        <v>503</v>
      </c>
      <c r="E86" s="114">
        <v>500263.06223796454</v>
      </c>
      <c r="F86">
        <v>18.973780574725499</v>
      </c>
      <c r="G86">
        <v>26366.019163537316</v>
      </c>
      <c r="H86">
        <v>1.556689630877642E-87</v>
      </c>
      <c r="I86">
        <v>500223.81198238023</v>
      </c>
      <c r="J86">
        <v>500302.31249354884</v>
      </c>
      <c r="K86">
        <v>500223.81198238023</v>
      </c>
      <c r="L86">
        <v>500302.31249354884</v>
      </c>
    </row>
    <row r="87" spans="1:16" ht="15.7" thickBot="1" x14ac:dyDescent="0.55000000000000004">
      <c r="A87" s="89">
        <v>99983.043000000005</v>
      </c>
      <c r="B87" s="89">
        <v>500115.17499999999</v>
      </c>
      <c r="D87" s="97" t="s">
        <v>517</v>
      </c>
      <c r="E87" s="115">
        <v>-1.4791472858560405E-3</v>
      </c>
      <c r="F87" s="97">
        <v>1.8977441026880518E-4</v>
      </c>
      <c r="G87" s="97">
        <v>-7.7942399281384063</v>
      </c>
      <c r="H87" s="97">
        <v>6.6872418950307306E-8</v>
      </c>
      <c r="I87" s="97">
        <v>-1.8717255639213912E-3</v>
      </c>
      <c r="J87" s="97">
        <v>-1.0865690077906899E-3</v>
      </c>
      <c r="K87" s="97">
        <v>-1.8717255639213912E-3</v>
      </c>
      <c r="L87" s="97">
        <v>-1.0865690077906899E-3</v>
      </c>
    </row>
    <row r="88" spans="1:16" x14ac:dyDescent="0.5">
      <c r="A88" s="89">
        <v>99983.282999999996</v>
      </c>
      <c r="B88" s="89">
        <v>500115.17</v>
      </c>
      <c r="D88"/>
      <c r="E88"/>
      <c r="F88"/>
      <c r="G88"/>
      <c r="H88"/>
      <c r="I88"/>
      <c r="J88"/>
      <c r="K88"/>
      <c r="L88"/>
    </row>
    <row r="89" spans="1:16" x14ac:dyDescent="0.5">
      <c r="A89" s="89">
        <v>99983.464999999997</v>
      </c>
      <c r="B89" s="89">
        <v>500115.17200000002</v>
      </c>
      <c r="D89"/>
      <c r="E89"/>
      <c r="F89"/>
      <c r="G89"/>
      <c r="H89"/>
      <c r="I89"/>
      <c r="J89"/>
      <c r="K89"/>
      <c r="L89"/>
    </row>
    <row r="90" spans="1:16" x14ac:dyDescent="0.5">
      <c r="A90" s="89">
        <v>99983.82</v>
      </c>
      <c r="B90" s="89">
        <v>500115.17099999997</v>
      </c>
      <c r="D90"/>
      <c r="E90"/>
      <c r="F90"/>
      <c r="G90"/>
      <c r="H90"/>
      <c r="I90"/>
      <c r="J90"/>
      <c r="K90"/>
      <c r="L90"/>
    </row>
    <row r="91" spans="1:16" x14ac:dyDescent="0.5">
      <c r="A91" s="89">
        <v>99984.263999999996</v>
      </c>
      <c r="B91" s="89">
        <v>500115.17</v>
      </c>
      <c r="D91"/>
      <c r="E91"/>
      <c r="F91"/>
      <c r="G91"/>
      <c r="H91"/>
      <c r="I91"/>
      <c r="J91"/>
      <c r="K91"/>
      <c r="L91"/>
    </row>
    <row r="92" spans="1:16" x14ac:dyDescent="0.5">
      <c r="A92" s="89">
        <v>99986.361000000004</v>
      </c>
      <c r="B92" s="89">
        <v>500115.16399999999</v>
      </c>
      <c r="D92"/>
      <c r="E92"/>
      <c r="F92"/>
      <c r="G92"/>
      <c r="H92"/>
      <c r="I92"/>
      <c r="J92"/>
      <c r="K92"/>
      <c r="L92"/>
    </row>
    <row r="93" spans="1:16" x14ac:dyDescent="0.5">
      <c r="A93" s="89">
        <v>99986.771999999997</v>
      </c>
      <c r="B93" s="89">
        <v>500115.16899999999</v>
      </c>
      <c r="D93"/>
      <c r="E93"/>
      <c r="F93"/>
      <c r="G93"/>
      <c r="H93"/>
      <c r="I93"/>
      <c r="J93"/>
      <c r="K93"/>
      <c r="L93"/>
    </row>
    <row r="94" spans="1:16" x14ac:dyDescent="0.5">
      <c r="A94" s="89">
        <v>99987.236000000004</v>
      </c>
      <c r="B94" s="89">
        <v>500115.163</v>
      </c>
      <c r="D94"/>
      <c r="E94"/>
      <c r="F94"/>
      <c r="G94"/>
      <c r="H94"/>
      <c r="I94"/>
      <c r="J94"/>
      <c r="K94"/>
      <c r="L94"/>
    </row>
    <row r="95" spans="1:16" x14ac:dyDescent="0.5">
      <c r="A95" s="89">
        <v>99987.831000000006</v>
      </c>
      <c r="B95" s="89">
        <v>500115.16499999998</v>
      </c>
      <c r="D95"/>
      <c r="E95"/>
      <c r="F95"/>
      <c r="G95"/>
      <c r="H95"/>
      <c r="I95"/>
      <c r="J95"/>
      <c r="K95"/>
      <c r="L95"/>
    </row>
    <row r="96" spans="1:16" x14ac:dyDescent="0.5">
      <c r="A96" s="89">
        <v>99988.142999999996</v>
      </c>
      <c r="B96" s="89">
        <v>500115.16399999999</v>
      </c>
      <c r="D96"/>
      <c r="E96"/>
      <c r="F96"/>
      <c r="G96"/>
      <c r="H96"/>
      <c r="I96"/>
      <c r="J96"/>
      <c r="K96"/>
      <c r="L96"/>
    </row>
    <row r="97" spans="1:16" x14ac:dyDescent="0.5">
      <c r="D97"/>
      <c r="E97"/>
      <c r="F97"/>
      <c r="G97"/>
      <c r="H97"/>
      <c r="I97"/>
      <c r="J97"/>
      <c r="K97"/>
      <c r="L97"/>
    </row>
    <row r="98" spans="1:16" x14ac:dyDescent="0.5">
      <c r="A98" s="7" t="s">
        <v>533</v>
      </c>
      <c r="B98" s="7"/>
      <c r="D98" t="s">
        <v>492</v>
      </c>
      <c r="E98"/>
      <c r="F98"/>
      <c r="G98"/>
      <c r="H98"/>
      <c r="I98"/>
      <c r="J98"/>
      <c r="K98"/>
      <c r="L98"/>
    </row>
    <row r="99" spans="1:16" ht="31" thickBot="1" x14ac:dyDescent="0.55000000000000004">
      <c r="A99" s="90" t="s">
        <v>518</v>
      </c>
      <c r="B99" s="90" t="s">
        <v>515</v>
      </c>
      <c r="D99"/>
      <c r="E99"/>
      <c r="F99"/>
      <c r="G99"/>
      <c r="H99"/>
      <c r="I99"/>
      <c r="J99"/>
      <c r="K99"/>
      <c r="L99"/>
    </row>
    <row r="100" spans="1:16" x14ac:dyDescent="0.5">
      <c r="A100" s="92">
        <v>99884.808000000005</v>
      </c>
      <c r="B100" s="92">
        <v>499986.62</v>
      </c>
      <c r="D100" s="99" t="s">
        <v>493</v>
      </c>
      <c r="E100" s="99"/>
      <c r="F100"/>
      <c r="G100"/>
      <c r="H100"/>
      <c r="I100"/>
      <c r="J100"/>
      <c r="K100"/>
      <c r="L100"/>
    </row>
    <row r="101" spans="1:16" x14ac:dyDescent="0.5">
      <c r="A101" s="92">
        <v>99884.81</v>
      </c>
      <c r="B101" s="92">
        <v>499986.196</v>
      </c>
      <c r="D101" t="s">
        <v>494</v>
      </c>
      <c r="E101">
        <v>0.96385231973758678</v>
      </c>
      <c r="F101"/>
      <c r="G101"/>
      <c r="H101"/>
      <c r="I101"/>
      <c r="J101"/>
      <c r="K101"/>
      <c r="L101"/>
    </row>
    <row r="102" spans="1:16" x14ac:dyDescent="0.5">
      <c r="A102" s="92">
        <v>99884.807000000001</v>
      </c>
      <c r="B102" s="92">
        <v>499983.87099999998</v>
      </c>
      <c r="D102" t="s">
        <v>495</v>
      </c>
      <c r="E102">
        <v>0.92901129426352724</v>
      </c>
      <c r="F102"/>
      <c r="G102"/>
      <c r="H102"/>
      <c r="I102"/>
      <c r="J102"/>
      <c r="K102"/>
      <c r="L102"/>
    </row>
    <row r="103" spans="1:16" x14ac:dyDescent="0.5">
      <c r="A103" s="92">
        <v>99884.801000000007</v>
      </c>
      <c r="B103" s="92">
        <v>499974.49300000002</v>
      </c>
      <c r="D103" t="s">
        <v>496</v>
      </c>
      <c r="E103">
        <v>0.92255777556021146</v>
      </c>
      <c r="F103"/>
      <c r="G103"/>
      <c r="H103"/>
      <c r="I103"/>
      <c r="J103"/>
      <c r="K103"/>
      <c r="L103"/>
    </row>
    <row r="104" spans="1:16" x14ac:dyDescent="0.5">
      <c r="A104" s="92">
        <v>99884.790999999997</v>
      </c>
      <c r="B104" s="92">
        <v>499969.74099999998</v>
      </c>
      <c r="D104" t="s">
        <v>497</v>
      </c>
      <c r="E104">
        <v>3.4161304886408564E-3</v>
      </c>
      <c r="F104"/>
      <c r="G104"/>
      <c r="H104"/>
      <c r="I104"/>
      <c r="J104"/>
      <c r="K104"/>
      <c r="L104"/>
    </row>
    <row r="105" spans="1:16" ht="15.7" thickBot="1" x14ac:dyDescent="0.55000000000000004">
      <c r="A105" s="92">
        <v>99884.785999999993</v>
      </c>
      <c r="B105" s="92">
        <v>499968.30099999998</v>
      </c>
      <c r="D105" s="97" t="s">
        <v>498</v>
      </c>
      <c r="E105" s="97">
        <v>13</v>
      </c>
      <c r="F105"/>
      <c r="G105"/>
      <c r="H105"/>
      <c r="I105"/>
      <c r="J105"/>
      <c r="K105"/>
      <c r="L105"/>
    </row>
    <row r="106" spans="1:16" x14ac:dyDescent="0.5">
      <c r="A106" s="92">
        <v>99884.790999999997</v>
      </c>
      <c r="B106" s="92">
        <v>499965.33500000002</v>
      </c>
      <c r="D106"/>
      <c r="E106"/>
      <c r="F106"/>
      <c r="G106"/>
      <c r="H106"/>
      <c r="I106"/>
      <c r="J106"/>
      <c r="K106"/>
      <c r="L106"/>
    </row>
    <row r="107" spans="1:16" ht="15.7" thickBot="1" x14ac:dyDescent="0.55000000000000004">
      <c r="A107" s="92">
        <v>99884.785000000003</v>
      </c>
      <c r="B107" s="92">
        <v>499963.85600000003</v>
      </c>
      <c r="D107" t="s">
        <v>499</v>
      </c>
      <c r="E107"/>
      <c r="F107"/>
      <c r="G107"/>
      <c r="H107"/>
      <c r="I107"/>
      <c r="J107"/>
      <c r="K107"/>
      <c r="L107"/>
    </row>
    <row r="108" spans="1:16" x14ac:dyDescent="0.5">
      <c r="A108" s="92">
        <v>99884.789000000004</v>
      </c>
      <c r="B108" s="92">
        <v>499963.27899999998</v>
      </c>
      <c r="D108" s="98"/>
      <c r="E108" s="98" t="s">
        <v>504</v>
      </c>
      <c r="F108" s="98" t="s">
        <v>505</v>
      </c>
      <c r="G108" s="98" t="s">
        <v>506</v>
      </c>
      <c r="H108" s="98" t="s">
        <v>23</v>
      </c>
      <c r="I108" s="98" t="s">
        <v>507</v>
      </c>
      <c r="J108"/>
      <c r="K108"/>
      <c r="L108"/>
    </row>
    <row r="109" spans="1:16" ht="15.7" thickBot="1" x14ac:dyDescent="0.55000000000000004">
      <c r="A109" s="92">
        <v>99884.786999999997</v>
      </c>
      <c r="B109" s="92">
        <v>499961.92599999998</v>
      </c>
      <c r="D109" t="s">
        <v>500</v>
      </c>
      <c r="E109">
        <v>1</v>
      </c>
      <c r="F109">
        <v>1.6799382699114337E-3</v>
      </c>
      <c r="G109">
        <v>1.6799382699114337E-3</v>
      </c>
      <c r="H109">
        <v>143.9542266742354</v>
      </c>
      <c r="I109">
        <v>1.1651863095919363E-7</v>
      </c>
      <c r="J109"/>
      <c r="K109"/>
      <c r="L109"/>
    </row>
    <row r="110" spans="1:16" ht="15.7" thickBot="1" x14ac:dyDescent="0.55000000000000004">
      <c r="A110" s="92">
        <v>99884.789000000004</v>
      </c>
      <c r="B110" s="92">
        <v>499961.21</v>
      </c>
      <c r="D110" t="s">
        <v>501</v>
      </c>
      <c r="E110">
        <v>11</v>
      </c>
      <c r="F110">
        <v>1.2836942266963779E-4</v>
      </c>
      <c r="G110">
        <v>1.1669947515421617E-5</v>
      </c>
      <c r="H110"/>
      <c r="I110"/>
      <c r="J110"/>
      <c r="K110"/>
      <c r="L110"/>
      <c r="O110" s="108" t="s">
        <v>560</v>
      </c>
      <c r="P110" s="156"/>
    </row>
    <row r="111" spans="1:16" ht="15.7" thickBot="1" x14ac:dyDescent="0.55000000000000004">
      <c r="A111" s="92">
        <v>99884.784</v>
      </c>
      <c r="B111" s="92">
        <v>499960.57500000001</v>
      </c>
      <c r="D111" s="97" t="s">
        <v>502</v>
      </c>
      <c r="E111" s="97">
        <v>12</v>
      </c>
      <c r="F111" s="97">
        <v>1.8083076925810714E-3</v>
      </c>
      <c r="G111" s="97"/>
      <c r="H111" s="97"/>
      <c r="I111" s="97"/>
      <c r="J111"/>
      <c r="K111"/>
      <c r="L111"/>
      <c r="O111" s="158" t="s">
        <v>503</v>
      </c>
      <c r="P111" s="134">
        <f>INTERCEPT(A100:A112,B100:B112)</f>
        <v>99362.936472674759</v>
      </c>
    </row>
    <row r="112" spans="1:16" ht="15.7" thickBot="1" x14ac:dyDescent="0.55000000000000004">
      <c r="A112" s="92">
        <v>99884.764999999999</v>
      </c>
      <c r="B112" s="92">
        <v>499948.26400000002</v>
      </c>
      <c r="D112"/>
      <c r="E112"/>
      <c r="F112"/>
      <c r="G112"/>
      <c r="H112"/>
      <c r="I112"/>
      <c r="J112"/>
      <c r="K112"/>
      <c r="L112"/>
      <c r="O112" s="159" t="s">
        <v>550</v>
      </c>
      <c r="P112" s="157">
        <f>SLOPE(A100:A115,B100:B115)</f>
        <v>1.0437758424303549E-3</v>
      </c>
    </row>
    <row r="113" spans="1:18" x14ac:dyDescent="0.5">
      <c r="D113" s="98"/>
      <c r="E113" s="98" t="s">
        <v>508</v>
      </c>
      <c r="F113" s="98" t="s">
        <v>497</v>
      </c>
      <c r="G113" s="98" t="s">
        <v>509</v>
      </c>
      <c r="H113" s="98" t="s">
        <v>510</v>
      </c>
      <c r="I113" s="98" t="s">
        <v>511</v>
      </c>
      <c r="J113" s="98" t="s">
        <v>512</v>
      </c>
      <c r="K113" s="98" t="s">
        <v>513</v>
      </c>
      <c r="L113" s="98" t="s">
        <v>514</v>
      </c>
      <c r="N113"/>
      <c r="O113"/>
      <c r="P113"/>
      <c r="Q113"/>
      <c r="R113"/>
    </row>
    <row r="114" spans="1:18" x14ac:dyDescent="0.5">
      <c r="D114" t="s">
        <v>503</v>
      </c>
      <c r="E114" s="114">
        <v>99362.936472674759</v>
      </c>
      <c r="F114">
        <v>43.494854801079093</v>
      </c>
      <c r="G114">
        <v>2284.4756449263878</v>
      </c>
      <c r="H114">
        <v>1.4203328080164186E-32</v>
      </c>
      <c r="I114">
        <v>99267.204942717246</v>
      </c>
      <c r="J114">
        <v>99458.668002632272</v>
      </c>
      <c r="K114">
        <v>99267.204942717246</v>
      </c>
      <c r="L114">
        <v>99458.668002632272</v>
      </c>
      <c r="N114"/>
      <c r="O114"/>
      <c r="P114"/>
      <c r="Q114"/>
      <c r="R114"/>
    </row>
    <row r="115" spans="1:18" ht="15.7" thickBot="1" x14ac:dyDescent="0.55000000000000004">
      <c r="D115" s="97" t="s">
        <v>515</v>
      </c>
      <c r="E115" s="115">
        <v>1.0437758424303551E-3</v>
      </c>
      <c r="F115" s="97">
        <v>8.6995147889123409E-5</v>
      </c>
      <c r="G115" s="97">
        <v>11.998092626506741</v>
      </c>
      <c r="H115" s="97">
        <v>1.1651863095919363E-7</v>
      </c>
      <c r="I115" s="97">
        <v>8.5230081292641711E-4</v>
      </c>
      <c r="J115" s="97">
        <v>1.2352508719342932E-3</v>
      </c>
      <c r="K115" s="97">
        <v>8.5230081292641711E-4</v>
      </c>
      <c r="L115" s="97">
        <v>1.2352508719342932E-3</v>
      </c>
      <c r="N115"/>
      <c r="O115"/>
      <c r="P115"/>
      <c r="Q115"/>
      <c r="R115"/>
    </row>
    <row r="116" spans="1:18" ht="15.7" thickBot="1" x14ac:dyDescent="0.55000000000000004">
      <c r="D116"/>
      <c r="E116"/>
      <c r="F116"/>
      <c r="G116"/>
      <c r="H116"/>
      <c r="I116"/>
      <c r="J116"/>
      <c r="K116"/>
      <c r="L116"/>
      <c r="M116"/>
      <c r="N116"/>
      <c r="O116"/>
      <c r="P116"/>
      <c r="Q116"/>
      <c r="R116"/>
    </row>
    <row r="117" spans="1:18" ht="15.7" thickBot="1" x14ac:dyDescent="0.55000000000000004">
      <c r="A117" s="7" t="s">
        <v>533</v>
      </c>
      <c r="B117" s="7"/>
      <c r="D117"/>
      <c r="E117"/>
      <c r="F117"/>
      <c r="G117"/>
      <c r="H117"/>
      <c r="I117" s="533" t="s">
        <v>569</v>
      </c>
      <c r="J117" s="534"/>
      <c r="K117" s="535"/>
      <c r="L117"/>
      <c r="M117"/>
      <c r="N117"/>
      <c r="O117"/>
      <c r="P117"/>
      <c r="Q117"/>
      <c r="R117"/>
    </row>
    <row r="118" spans="1:18" ht="92.35" thickBot="1" x14ac:dyDescent="0.55000000000000004">
      <c r="A118" s="118" t="s">
        <v>517</v>
      </c>
      <c r="B118" s="140" t="s">
        <v>491</v>
      </c>
      <c r="C118" s="140" t="s">
        <v>534</v>
      </c>
      <c r="D118" s="140" t="s">
        <v>535</v>
      </c>
      <c r="E118" s="140" t="s">
        <v>536</v>
      </c>
      <c r="F118" s="140" t="s">
        <v>537</v>
      </c>
      <c r="G118" s="140" t="s">
        <v>491</v>
      </c>
      <c r="H118" s="140" t="s">
        <v>538</v>
      </c>
      <c r="I118" s="118" t="s">
        <v>559</v>
      </c>
      <c r="J118" s="141" t="s">
        <v>558</v>
      </c>
      <c r="K118" s="142" t="s">
        <v>557</v>
      </c>
      <c r="L118"/>
      <c r="M118"/>
      <c r="N118"/>
      <c r="O118"/>
      <c r="P118"/>
      <c r="Q118"/>
      <c r="R118"/>
    </row>
    <row r="119" spans="1:18" x14ac:dyDescent="0.5">
      <c r="A119" s="148">
        <v>99885.99</v>
      </c>
      <c r="B119" s="124">
        <v>499986.62</v>
      </c>
      <c r="C119" s="124">
        <v>61.933999999999997</v>
      </c>
      <c r="D119" s="149">
        <v>60.43</v>
      </c>
      <c r="E119" s="124">
        <v>-1.181</v>
      </c>
      <c r="F119" s="124">
        <v>99884.808000000005</v>
      </c>
      <c r="G119" s="124">
        <v>499986.62</v>
      </c>
      <c r="H119" s="150">
        <v>1.504</v>
      </c>
      <c r="I119" s="143">
        <f t="shared" ref="I119:I131" si="3">11/14*(C119-D119)</f>
        <v>1.1817142857142839</v>
      </c>
      <c r="J119" s="23">
        <f t="shared" ref="J119:J131" si="4">A119-I119</f>
        <v>99884.808285714287</v>
      </c>
      <c r="K119" s="144">
        <f>F119-J119</f>
        <v>-2.8571428265422583E-4</v>
      </c>
      <c r="L119"/>
      <c r="M119"/>
      <c r="N119"/>
      <c r="O119"/>
      <c r="P119"/>
      <c r="Q119"/>
      <c r="R119"/>
    </row>
    <row r="120" spans="1:18" x14ac:dyDescent="0.5">
      <c r="A120" s="151">
        <v>99885.99</v>
      </c>
      <c r="B120" s="101">
        <v>499986.196</v>
      </c>
      <c r="C120" s="101">
        <v>61.932000000000002</v>
      </c>
      <c r="D120" s="87">
        <v>60.43</v>
      </c>
      <c r="E120" s="101">
        <v>-1.18</v>
      </c>
      <c r="F120" s="101">
        <v>99884.81</v>
      </c>
      <c r="G120" s="101">
        <v>499986.196</v>
      </c>
      <c r="H120" s="152">
        <v>1.502</v>
      </c>
      <c r="I120" s="143">
        <f t="shared" si="3"/>
        <v>1.1801428571428589</v>
      </c>
      <c r="J120" s="23">
        <f t="shared" si="4"/>
        <v>99884.809857142856</v>
      </c>
      <c r="K120" s="144">
        <f t="shared" ref="K120:K131" si="5">F120-J120</f>
        <v>1.4285714132711291E-4</v>
      </c>
      <c r="L120"/>
      <c r="M120"/>
      <c r="N120"/>
      <c r="O120"/>
      <c r="P120"/>
      <c r="Q120"/>
      <c r="R120"/>
    </row>
    <row r="121" spans="1:18" x14ac:dyDescent="0.5">
      <c r="A121" s="151">
        <v>99885.982999999993</v>
      </c>
      <c r="B121" s="101">
        <v>499983.87099999998</v>
      </c>
      <c r="C121" s="101">
        <v>61.927</v>
      </c>
      <c r="D121" s="87">
        <v>60.43</v>
      </c>
      <c r="E121" s="101">
        <v>-1.1759999999999999</v>
      </c>
      <c r="F121" s="101">
        <v>99884.807000000001</v>
      </c>
      <c r="G121" s="101">
        <v>499983.87099999998</v>
      </c>
      <c r="H121" s="152">
        <v>1.4970000000000001</v>
      </c>
      <c r="I121" s="143">
        <f t="shared" si="3"/>
        <v>1.1762142857142857</v>
      </c>
      <c r="J121" s="23">
        <f t="shared" si="4"/>
        <v>99884.806785714274</v>
      </c>
      <c r="K121" s="144">
        <f t="shared" si="5"/>
        <v>2.142857265425846E-4</v>
      </c>
      <c r="L121"/>
      <c r="M121"/>
      <c r="N121"/>
      <c r="O121"/>
      <c r="P121"/>
      <c r="Q121"/>
      <c r="R121"/>
    </row>
    <row r="122" spans="1:18" x14ac:dyDescent="0.5">
      <c r="A122" s="151">
        <v>99885.987999999998</v>
      </c>
      <c r="B122" s="101">
        <v>499974.49300000002</v>
      </c>
      <c r="C122" s="101">
        <v>61.941000000000003</v>
      </c>
      <c r="D122" s="87">
        <v>60.43</v>
      </c>
      <c r="E122" s="101">
        <v>-1.1870000000000001</v>
      </c>
      <c r="F122" s="101">
        <v>99884.801000000007</v>
      </c>
      <c r="G122" s="101">
        <v>499974.49300000002</v>
      </c>
      <c r="H122" s="152">
        <v>1.5109999999999999</v>
      </c>
      <c r="I122" s="143">
        <f t="shared" si="3"/>
        <v>1.1872142857142878</v>
      </c>
      <c r="J122" s="23">
        <f t="shared" si="4"/>
        <v>99884.80078571428</v>
      </c>
      <c r="K122" s="144">
        <f t="shared" si="5"/>
        <v>2.142857265425846E-4</v>
      </c>
      <c r="L122"/>
      <c r="M122"/>
      <c r="N122"/>
      <c r="O122"/>
      <c r="P122"/>
      <c r="Q122"/>
      <c r="R122"/>
    </row>
    <row r="123" spans="1:18" x14ac:dyDescent="0.5">
      <c r="A123" s="151">
        <v>99885.979000000007</v>
      </c>
      <c r="B123" s="101">
        <v>499969.74099999998</v>
      </c>
      <c r="C123" s="101">
        <v>61.942999999999998</v>
      </c>
      <c r="D123" s="87">
        <v>60.43</v>
      </c>
      <c r="E123" s="101">
        <v>-1.1890000000000001</v>
      </c>
      <c r="F123" s="101">
        <v>99884.790999999997</v>
      </c>
      <c r="G123" s="101">
        <v>499969.74099999998</v>
      </c>
      <c r="H123" s="152">
        <v>1.5129999999999999</v>
      </c>
      <c r="I123" s="143">
        <f t="shared" si="3"/>
        <v>1.1887857142857128</v>
      </c>
      <c r="J123" s="23">
        <f t="shared" si="4"/>
        <v>99884.79021428572</v>
      </c>
      <c r="K123" s="163">
        <f t="shared" si="5"/>
        <v>7.8571427729912102E-4</v>
      </c>
      <c r="L123"/>
      <c r="M123"/>
      <c r="N123"/>
      <c r="O123"/>
      <c r="P123"/>
      <c r="Q123"/>
      <c r="R123"/>
    </row>
    <row r="124" spans="1:18" x14ac:dyDescent="0.5">
      <c r="A124" s="151">
        <v>99885.975000000006</v>
      </c>
      <c r="B124" s="101">
        <v>499968.30099999998</v>
      </c>
      <c r="C124" s="101">
        <v>61.942999999999998</v>
      </c>
      <c r="D124" s="87">
        <v>60.43</v>
      </c>
      <c r="E124" s="101">
        <v>-1.1890000000000001</v>
      </c>
      <c r="F124" s="101">
        <v>99884.785999999993</v>
      </c>
      <c r="G124" s="101">
        <v>499968.30099999998</v>
      </c>
      <c r="H124" s="152">
        <v>1.5129999999999999</v>
      </c>
      <c r="I124" s="143">
        <f t="shared" si="3"/>
        <v>1.1887857142857128</v>
      </c>
      <c r="J124" s="23">
        <f t="shared" si="4"/>
        <v>99884.786214285719</v>
      </c>
      <c r="K124" s="144">
        <f t="shared" si="5"/>
        <v>-2.142857265425846E-4</v>
      </c>
      <c r="L124"/>
      <c r="M124"/>
      <c r="N124"/>
      <c r="O124"/>
      <c r="P124"/>
      <c r="Q124"/>
      <c r="R124"/>
    </row>
    <row r="125" spans="1:18" x14ac:dyDescent="0.5">
      <c r="A125" s="151">
        <v>99885.981</v>
      </c>
      <c r="B125" s="101">
        <v>499965.33500000002</v>
      </c>
      <c r="C125" s="101">
        <v>61.945</v>
      </c>
      <c r="D125" s="87">
        <v>60.43</v>
      </c>
      <c r="E125" s="101">
        <v>-1.19</v>
      </c>
      <c r="F125" s="101">
        <v>99884.790999999997</v>
      </c>
      <c r="G125" s="101">
        <v>499965.33500000002</v>
      </c>
      <c r="H125" s="152">
        <v>1.5149999999999999</v>
      </c>
      <c r="I125" s="143">
        <f t="shared" si="3"/>
        <v>1.1903571428571433</v>
      </c>
      <c r="J125" s="23">
        <f t="shared" si="4"/>
        <v>99884.790642857144</v>
      </c>
      <c r="K125" s="144">
        <f t="shared" si="5"/>
        <v>3.5714285331778228E-4</v>
      </c>
      <c r="L125"/>
      <c r="M125"/>
      <c r="N125"/>
      <c r="O125"/>
      <c r="P125"/>
      <c r="Q125"/>
      <c r="R125"/>
    </row>
    <row r="126" spans="1:18" x14ac:dyDescent="0.5">
      <c r="A126" s="151">
        <v>99885.975999999995</v>
      </c>
      <c r="B126" s="101">
        <v>499963.85600000003</v>
      </c>
      <c r="C126" s="101">
        <v>61.945999999999998</v>
      </c>
      <c r="D126" s="87">
        <v>60.43</v>
      </c>
      <c r="E126" s="101">
        <v>-1.1910000000000001</v>
      </c>
      <c r="F126" s="101">
        <v>99884.785000000003</v>
      </c>
      <c r="G126" s="101">
        <v>499963.85600000003</v>
      </c>
      <c r="H126" s="152">
        <v>1.516</v>
      </c>
      <c r="I126" s="143">
        <f t="shared" si="3"/>
        <v>1.1911428571428557</v>
      </c>
      <c r="J126" s="23">
        <f t="shared" si="4"/>
        <v>99884.784857142848</v>
      </c>
      <c r="K126" s="144">
        <f t="shared" si="5"/>
        <v>1.4285715587902814E-4</v>
      </c>
      <c r="L126"/>
      <c r="M126"/>
      <c r="N126"/>
      <c r="O126"/>
      <c r="P126"/>
      <c r="Q126"/>
      <c r="R126"/>
    </row>
    <row r="127" spans="1:18" x14ac:dyDescent="0.5">
      <c r="A127" s="151">
        <v>99885.979000000007</v>
      </c>
      <c r="B127" s="101">
        <v>499963.27899999998</v>
      </c>
      <c r="C127" s="101">
        <v>61.944000000000003</v>
      </c>
      <c r="D127" s="87">
        <v>60.43</v>
      </c>
      <c r="E127" s="101">
        <v>-1.19</v>
      </c>
      <c r="F127" s="101">
        <v>99884.789000000004</v>
      </c>
      <c r="G127" s="101">
        <v>499963.27899999998</v>
      </c>
      <c r="H127" s="152">
        <v>1.514</v>
      </c>
      <c r="I127" s="143">
        <f t="shared" si="3"/>
        <v>1.1895714285714307</v>
      </c>
      <c r="J127" s="23">
        <f t="shared" si="4"/>
        <v>99884.789428571428</v>
      </c>
      <c r="K127" s="144">
        <f t="shared" si="5"/>
        <v>-4.2857142398133874E-4</v>
      </c>
      <c r="L127"/>
      <c r="M127"/>
      <c r="N127"/>
      <c r="O127"/>
      <c r="P127"/>
      <c r="Q127"/>
      <c r="R127"/>
    </row>
    <row r="128" spans="1:18" x14ac:dyDescent="0.5">
      <c r="A128" s="151">
        <v>99885.975000000006</v>
      </c>
      <c r="B128" s="101">
        <v>499961.92599999998</v>
      </c>
      <c r="C128" s="101">
        <v>61.942</v>
      </c>
      <c r="D128" s="87">
        <v>60.43</v>
      </c>
      <c r="E128" s="101">
        <v>-1.1879999999999999</v>
      </c>
      <c r="F128" s="101">
        <v>99884.786999999997</v>
      </c>
      <c r="G128" s="101">
        <v>499961.92599999998</v>
      </c>
      <c r="H128" s="152">
        <v>1.512</v>
      </c>
      <c r="I128" s="143">
        <f t="shared" si="3"/>
        <v>1.1880000000000004</v>
      </c>
      <c r="J128" s="23">
        <f t="shared" si="4"/>
        <v>99884.787000000011</v>
      </c>
      <c r="K128" s="144">
        <f t="shared" si="5"/>
        <v>0</v>
      </c>
      <c r="L128"/>
      <c r="M128"/>
      <c r="N128"/>
      <c r="O128"/>
      <c r="P128"/>
      <c r="Q128"/>
      <c r="R128"/>
    </row>
    <row r="129" spans="1:18" x14ac:dyDescent="0.5">
      <c r="A129" s="151">
        <v>99885.978000000003</v>
      </c>
      <c r="B129" s="101">
        <v>499961.21</v>
      </c>
      <c r="C129" s="101">
        <v>61.944000000000003</v>
      </c>
      <c r="D129" s="87">
        <v>60.43</v>
      </c>
      <c r="E129" s="101">
        <v>-1.1890000000000001</v>
      </c>
      <c r="F129" s="101">
        <v>99884.789000000004</v>
      </c>
      <c r="G129" s="101">
        <v>499961.21</v>
      </c>
      <c r="H129" s="152">
        <v>1.514</v>
      </c>
      <c r="I129" s="143">
        <f t="shared" si="3"/>
        <v>1.1895714285714307</v>
      </c>
      <c r="J129" s="23">
        <f t="shared" si="4"/>
        <v>99884.788428571424</v>
      </c>
      <c r="K129" s="163">
        <f t="shared" si="5"/>
        <v>5.7142857986036688E-4</v>
      </c>
      <c r="L129"/>
      <c r="M129"/>
      <c r="N129"/>
      <c r="O129"/>
      <c r="P129"/>
      <c r="Q129"/>
      <c r="R129"/>
    </row>
    <row r="130" spans="1:18" x14ac:dyDescent="0.5">
      <c r="A130" s="151">
        <v>99885.971999999994</v>
      </c>
      <c r="B130" s="101">
        <v>499960.57500000001</v>
      </c>
      <c r="C130" s="101">
        <v>61.942999999999998</v>
      </c>
      <c r="D130" s="87">
        <v>60.43</v>
      </c>
      <c r="E130" s="101">
        <v>-1.1890000000000001</v>
      </c>
      <c r="F130" s="101">
        <v>99884.784</v>
      </c>
      <c r="G130" s="101">
        <v>499960.57500000001</v>
      </c>
      <c r="H130" s="152">
        <v>1.5129999999999999</v>
      </c>
      <c r="I130" s="143">
        <f t="shared" si="3"/>
        <v>1.1887857142857128</v>
      </c>
      <c r="J130" s="23">
        <f t="shared" si="4"/>
        <v>99884.783214285708</v>
      </c>
      <c r="K130" s="163">
        <f t="shared" si="5"/>
        <v>7.8571429185103625E-4</v>
      </c>
      <c r="L130"/>
      <c r="M130"/>
      <c r="N130"/>
      <c r="O130"/>
      <c r="P130"/>
      <c r="Q130"/>
      <c r="R130"/>
    </row>
    <row r="131" spans="1:18" ht="15.7" thickBot="1" x14ac:dyDescent="0.55000000000000004">
      <c r="A131" s="153">
        <v>99885.956000000006</v>
      </c>
      <c r="B131" s="129">
        <v>499948.26400000002</v>
      </c>
      <c r="C131" s="129">
        <v>61.945999999999998</v>
      </c>
      <c r="D131" s="154">
        <v>60.43</v>
      </c>
      <c r="E131" s="129">
        <v>-1.1910000000000001</v>
      </c>
      <c r="F131" s="129">
        <v>99884.764999999999</v>
      </c>
      <c r="G131" s="129">
        <v>499948.26400000002</v>
      </c>
      <c r="H131" s="155">
        <v>1.516</v>
      </c>
      <c r="I131" s="145">
        <f t="shared" si="3"/>
        <v>1.1911428571428557</v>
      </c>
      <c r="J131" s="146">
        <f t="shared" si="4"/>
        <v>99884.764857142858</v>
      </c>
      <c r="K131" s="147">
        <f t="shared" si="5"/>
        <v>1.4285714132711291E-4</v>
      </c>
      <c r="L131"/>
      <c r="M131"/>
      <c r="N131"/>
      <c r="O131"/>
      <c r="P131"/>
      <c r="Q131"/>
      <c r="R131"/>
    </row>
    <row r="132" spans="1:18" x14ac:dyDescent="0.5">
      <c r="D132"/>
      <c r="E132"/>
      <c r="F132"/>
      <c r="J132"/>
      <c r="K132"/>
      <c r="L132"/>
      <c r="M132"/>
      <c r="N132"/>
      <c r="O132"/>
      <c r="P132"/>
      <c r="Q132"/>
      <c r="R132"/>
    </row>
    <row r="133" spans="1:18" x14ac:dyDescent="0.5">
      <c r="D133"/>
      <c r="E133"/>
      <c r="F133"/>
      <c r="J133"/>
      <c r="K133"/>
      <c r="L133"/>
      <c r="M133"/>
      <c r="N133"/>
      <c r="O133"/>
      <c r="P133"/>
      <c r="Q133"/>
      <c r="R133"/>
    </row>
    <row r="134" spans="1:18" x14ac:dyDescent="0.5">
      <c r="D134"/>
      <c r="E134"/>
      <c r="F134"/>
      <c r="J134"/>
      <c r="K134"/>
      <c r="L134"/>
      <c r="M134"/>
      <c r="N134"/>
      <c r="O134"/>
      <c r="P134"/>
      <c r="Q134"/>
      <c r="R134"/>
    </row>
    <row r="135" spans="1:18" x14ac:dyDescent="0.5">
      <c r="J135"/>
      <c r="K135"/>
      <c r="L135"/>
      <c r="M135"/>
    </row>
    <row r="136" spans="1:18" x14ac:dyDescent="0.5">
      <c r="J136"/>
      <c r="K136"/>
      <c r="L136"/>
      <c r="M136"/>
    </row>
    <row r="137" spans="1:18" x14ac:dyDescent="0.5">
      <c r="J137"/>
      <c r="K137"/>
      <c r="L137"/>
      <c r="M137"/>
    </row>
    <row r="138" spans="1:18" x14ac:dyDescent="0.5">
      <c r="J138"/>
      <c r="K138"/>
      <c r="L138"/>
      <c r="M138"/>
    </row>
    <row r="139" spans="1:18" x14ac:dyDescent="0.5">
      <c r="J139"/>
      <c r="K139"/>
      <c r="L139"/>
      <c r="M139"/>
    </row>
    <row r="140" spans="1:18" x14ac:dyDescent="0.5">
      <c r="J140"/>
      <c r="K140"/>
      <c r="L140"/>
      <c r="M140"/>
    </row>
    <row r="141" spans="1:18" x14ac:dyDescent="0.5">
      <c r="J141"/>
      <c r="K141"/>
      <c r="L141"/>
      <c r="M141"/>
    </row>
    <row r="142" spans="1:18" x14ac:dyDescent="0.5">
      <c r="J142"/>
      <c r="K142"/>
      <c r="L142"/>
      <c r="M142"/>
    </row>
    <row r="143" spans="1:18" x14ac:dyDescent="0.5">
      <c r="J143"/>
      <c r="K143"/>
      <c r="L143"/>
      <c r="M143"/>
    </row>
    <row r="144" spans="1:18" x14ac:dyDescent="0.5">
      <c r="J144"/>
      <c r="K144"/>
      <c r="L144"/>
      <c r="M144"/>
    </row>
    <row r="145" spans="10:13" x14ac:dyDescent="0.5">
      <c r="J145"/>
      <c r="K145"/>
      <c r="L145"/>
      <c r="M145"/>
    </row>
    <row r="146" spans="10:13" x14ac:dyDescent="0.5">
      <c r="J146"/>
      <c r="K146"/>
      <c r="L146"/>
      <c r="M146"/>
    </row>
    <row r="147" spans="10:13" x14ac:dyDescent="0.5">
      <c r="J147"/>
      <c r="K147"/>
      <c r="L147"/>
      <c r="M147"/>
    </row>
    <row r="148" spans="10:13" x14ac:dyDescent="0.5">
      <c r="J148"/>
      <c r="K148"/>
      <c r="L148"/>
      <c r="M148"/>
    </row>
    <row r="149" spans="10:13" x14ac:dyDescent="0.5">
      <c r="J149"/>
      <c r="K149"/>
      <c r="L149"/>
      <c r="M149"/>
    </row>
    <row r="150" spans="10:13" x14ac:dyDescent="0.5">
      <c r="J150"/>
      <c r="K150"/>
      <c r="L150"/>
      <c r="M150"/>
    </row>
    <row r="151" spans="10:13" x14ac:dyDescent="0.5">
      <c r="J151"/>
      <c r="K151"/>
      <c r="L151"/>
      <c r="M151"/>
    </row>
    <row r="152" spans="10:13" x14ac:dyDescent="0.5">
      <c r="J152"/>
      <c r="K152"/>
      <c r="L152"/>
      <c r="M152"/>
    </row>
    <row r="153" spans="10:13" x14ac:dyDescent="0.5">
      <c r="J153"/>
      <c r="K153"/>
      <c r="L153"/>
      <c r="M153"/>
    </row>
    <row r="154" spans="10:13" x14ac:dyDescent="0.5">
      <c r="J154"/>
      <c r="K154"/>
      <c r="L154"/>
      <c r="M154"/>
    </row>
    <row r="155" spans="10:13" x14ac:dyDescent="0.5">
      <c r="J155"/>
      <c r="K155"/>
      <c r="L155"/>
      <c r="M155"/>
    </row>
    <row r="156" spans="10:13" x14ac:dyDescent="0.5">
      <c r="J156"/>
      <c r="K156"/>
      <c r="L156"/>
      <c r="M156"/>
    </row>
  </sheetData>
  <sortState xmlns:xlrd2="http://schemas.microsoft.com/office/spreadsheetml/2017/richdata2" ref="I95:I116">
    <sortCondition ref="I95"/>
  </sortState>
  <mergeCells count="5">
    <mergeCell ref="P1:R1"/>
    <mergeCell ref="S1:U1"/>
    <mergeCell ref="I117:K117"/>
    <mergeCell ref="O29:P29"/>
    <mergeCell ref="Q19:U19"/>
  </mergeCells>
  <hyperlinks>
    <hyperlink ref="A13" r:id="rId1" xr:uid="{BF3D08CA-E6BD-40E5-A8C8-8F911FE21A29}"/>
    <hyperlink ref="A7" r:id="rId2" xr:uid="{67DA92D4-85B6-4A0C-854C-D6523C6D00CA}"/>
    <hyperlink ref="A2" r:id="rId3" xr:uid="{6849FB7C-71D3-4FD2-A54A-D98A24141577}"/>
    <hyperlink ref="A12" r:id="rId4" display="https://www.exceldemy.com/how-to-use-data-analysis-toolpak-in-excel/" xr:uid="{18ADEE81-BE0F-4B10-B0A0-9B1D174AD026}"/>
    <hyperlink ref="A10" r:id="rId5" xr:uid="{759AA60D-3A15-4C3B-90E0-35026A5CE765}"/>
    <hyperlink ref="A14" r:id="rId6" xr:uid="{E6C52BAA-E8B3-4025-AC9A-0C072F39035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B1FB4-178A-41C7-8359-A92243CD84AA}">
  <dimension ref="A1:N74"/>
  <sheetViews>
    <sheetView tabSelected="1" zoomScale="70" zoomScaleNormal="70" workbookViewId="0">
      <selection activeCell="A12" sqref="A12"/>
    </sheetView>
  </sheetViews>
  <sheetFormatPr defaultRowHeight="15.35" x14ac:dyDescent="0.5"/>
  <cols>
    <col min="1" max="1" width="74.88671875" bestFit="1" customWidth="1"/>
    <col min="2" max="2" width="23.44140625" bestFit="1" customWidth="1"/>
    <col min="3" max="3" width="13" bestFit="1" customWidth="1"/>
    <col min="4" max="4" width="20" bestFit="1" customWidth="1"/>
    <col min="5" max="5" width="10.44140625" bestFit="1" customWidth="1"/>
    <col min="6" max="6" width="12.88671875" bestFit="1" customWidth="1"/>
    <col min="7" max="7" width="8.0546875" bestFit="1" customWidth="1"/>
    <col min="8" max="8" width="12.88671875" bestFit="1" customWidth="1"/>
    <col min="9" max="9" width="4.83203125" bestFit="1" customWidth="1"/>
    <col min="10" max="10" width="6.5" bestFit="1" customWidth="1"/>
    <col min="11" max="11" width="8.0546875" bestFit="1" customWidth="1"/>
  </cols>
  <sheetData>
    <row r="1" spans="1:8" x14ac:dyDescent="0.5">
      <c r="A1" t="s">
        <v>419</v>
      </c>
    </row>
    <row r="3" spans="1:8" x14ac:dyDescent="0.5">
      <c r="A3" t="s">
        <v>304</v>
      </c>
      <c r="B3">
        <v>1</v>
      </c>
      <c r="D3" t="s">
        <v>298</v>
      </c>
    </row>
    <row r="4" spans="1:8" x14ac:dyDescent="0.5">
      <c r="A4" t="s">
        <v>283</v>
      </c>
      <c r="B4" s="12">
        <v>365.25</v>
      </c>
      <c r="D4" t="s">
        <v>298</v>
      </c>
    </row>
    <row r="5" spans="1:8" ht="18" x14ac:dyDescent="0.7">
      <c r="A5" t="s">
        <v>302</v>
      </c>
      <c r="B5" s="13">
        <f>B4/PI()</f>
        <v>116.26268592862955</v>
      </c>
      <c r="D5" t="s">
        <v>298</v>
      </c>
    </row>
    <row r="6" spans="1:8" ht="18" x14ac:dyDescent="0.7">
      <c r="A6" t="s">
        <v>299</v>
      </c>
      <c r="B6" s="13">
        <f>B4/(2 * PI()^0.5)</f>
        <v>103.035122695409</v>
      </c>
      <c r="D6" t="s">
        <v>298</v>
      </c>
    </row>
    <row r="7" spans="1:8" x14ac:dyDescent="0.5">
      <c r="A7" t="s">
        <v>300</v>
      </c>
      <c r="B7" s="13">
        <f>DEGREES(ATAN(4/PI()))</f>
        <v>51.853974012777456</v>
      </c>
      <c r="D7" s="4" t="s">
        <v>297</v>
      </c>
    </row>
    <row r="8" spans="1:8" x14ac:dyDescent="0.5">
      <c r="A8" t="s">
        <v>301</v>
      </c>
      <c r="B8" s="5">
        <f>DEGREES(ASIN(PI()^0.5/4))</f>
        <v>26.302701691547266</v>
      </c>
      <c r="D8" s="4" t="s">
        <v>297</v>
      </c>
    </row>
    <row r="9" spans="1:8" ht="18" x14ac:dyDescent="0.7">
      <c r="A9" t="s">
        <v>393</v>
      </c>
      <c r="B9" s="23">
        <f>B4/(10*PI()^0.5)</f>
        <v>20.607024539081802</v>
      </c>
      <c r="D9" t="s">
        <v>298</v>
      </c>
    </row>
    <row r="10" spans="1:8" x14ac:dyDescent="0.5">
      <c r="A10" t="s">
        <v>394</v>
      </c>
      <c r="B10" s="19"/>
      <c r="C10" s="6"/>
      <c r="E10" s="6"/>
      <c r="F10" s="14"/>
    </row>
    <row r="11" spans="1:8" x14ac:dyDescent="0.5">
      <c r="A11" t="s">
        <v>303</v>
      </c>
      <c r="B11" s="5">
        <f>B9/2^0.5</f>
        <v>14.57136679166233</v>
      </c>
      <c r="D11" t="s">
        <v>298</v>
      </c>
      <c r="H11" s="5"/>
    </row>
    <row r="12" spans="1:8" x14ac:dyDescent="0.5">
      <c r="A12" t="s">
        <v>418</v>
      </c>
      <c r="B12" s="5">
        <v>1719.6348254771042</v>
      </c>
      <c r="D12" t="s">
        <v>298</v>
      </c>
    </row>
    <row r="13" spans="1:8" x14ac:dyDescent="0.5">
      <c r="A13" t="s">
        <v>361</v>
      </c>
      <c r="B13" s="19">
        <v>77</v>
      </c>
      <c r="C13" s="6"/>
      <c r="E13" s="6"/>
      <c r="F13" s="14"/>
    </row>
    <row r="15" spans="1:8" x14ac:dyDescent="0.5">
      <c r="A15" t="s">
        <v>351</v>
      </c>
    </row>
    <row r="16" spans="1:8" x14ac:dyDescent="0.5">
      <c r="A16" t="s">
        <v>352</v>
      </c>
    </row>
    <row r="17" spans="1:7" x14ac:dyDescent="0.5">
      <c r="A17" t="s">
        <v>353</v>
      </c>
    </row>
    <row r="19" spans="1:7" x14ac:dyDescent="0.5">
      <c r="A19" s="11" t="s">
        <v>350</v>
      </c>
      <c r="B19" s="254" t="s">
        <v>651</v>
      </c>
      <c r="C19" s="254" t="s">
        <v>319</v>
      </c>
      <c r="D19" s="254" t="s">
        <v>652</v>
      </c>
      <c r="E19" s="255" t="s">
        <v>653</v>
      </c>
      <c r="F19" s="254" t="s">
        <v>654</v>
      </c>
    </row>
    <row r="20" spans="1:7" x14ac:dyDescent="0.5">
      <c r="A20" t="s">
        <v>644</v>
      </c>
      <c r="B20" t="s">
        <v>659</v>
      </c>
      <c r="C20" s="5">
        <v>1719.4718181818182</v>
      </c>
      <c r="D20" s="5">
        <f>B12</f>
        <v>1719.6348254771042</v>
      </c>
      <c r="E20" s="217">
        <f t="shared" ref="E20:E27" si="0">C20-D20</f>
        <v>-0.16300729528597913</v>
      </c>
      <c r="F20" s="14">
        <f t="shared" ref="F20:F27" si="1">C20/D20-1</f>
        <v>-9.4791808627592289E-5</v>
      </c>
      <c r="G20" s="220">
        <f t="shared" ref="G20:G27" si="2">F20^2</f>
        <v>8.9854869828900805E-9</v>
      </c>
    </row>
    <row r="21" spans="1:7" x14ac:dyDescent="0.5">
      <c r="A21" t="s">
        <v>284</v>
      </c>
      <c r="B21" t="s">
        <v>293</v>
      </c>
      <c r="C21" s="5">
        <v>1307</v>
      </c>
      <c r="D21" s="5">
        <f>B6*77/3*TAN(B8/180*PI())</f>
        <v>1307.1821520687154</v>
      </c>
      <c r="E21" s="217">
        <f t="shared" si="0"/>
        <v>-0.18215206871536793</v>
      </c>
      <c r="F21" s="14">
        <f t="shared" si="1"/>
        <v>-1.3934712038954356E-4</v>
      </c>
      <c r="G21" s="220">
        <f t="shared" si="2"/>
        <v>1.9417619960857946E-8</v>
      </c>
    </row>
    <row r="22" spans="1:7" x14ac:dyDescent="0.5">
      <c r="A22" t="s">
        <v>285</v>
      </c>
      <c r="B22" t="s">
        <v>258</v>
      </c>
      <c r="C22" s="5">
        <v>216.9</v>
      </c>
      <c r="D22" s="5">
        <v>216.68594028711192</v>
      </c>
      <c r="E22" s="217">
        <f t="shared" si="0"/>
        <v>0.21405971288808701</v>
      </c>
      <c r="F22" s="14">
        <f t="shared" si="1"/>
        <v>9.878800286000633E-4</v>
      </c>
      <c r="G22" s="220">
        <f t="shared" si="2"/>
        <v>9.7590695090686191E-7</v>
      </c>
    </row>
    <row r="23" spans="1:7" x14ac:dyDescent="0.5">
      <c r="A23" t="s">
        <v>286</v>
      </c>
      <c r="B23" t="s">
        <v>294</v>
      </c>
      <c r="C23" s="5">
        <v>205.85</v>
      </c>
      <c r="D23" s="5">
        <f>B6*2</f>
        <v>206.070245390818</v>
      </c>
      <c r="E23" s="217">
        <f t="shared" si="0"/>
        <v>-0.22024539081800754</v>
      </c>
      <c r="F23" s="14">
        <f t="shared" si="1"/>
        <v>-1.0687879290884883E-3</v>
      </c>
      <c r="G23" s="220">
        <f t="shared" si="2"/>
        <v>1.1423076373652596E-6</v>
      </c>
    </row>
    <row r="24" spans="1:7" x14ac:dyDescent="0.5">
      <c r="A24" t="s">
        <v>287</v>
      </c>
      <c r="B24" t="s">
        <v>395</v>
      </c>
      <c r="C24" s="5">
        <v>226.47</v>
      </c>
      <c r="D24" s="5">
        <f>B6*11/5</f>
        <v>226.67726992989978</v>
      </c>
      <c r="E24" s="217">
        <f t="shared" si="0"/>
        <v>-0.20726992989978044</v>
      </c>
      <c r="F24" s="14">
        <f t="shared" si="1"/>
        <v>-9.1438338728833113E-4</v>
      </c>
      <c r="G24" s="220">
        <f t="shared" si="2"/>
        <v>8.3609697894888217E-7</v>
      </c>
    </row>
    <row r="25" spans="1:7" x14ac:dyDescent="0.5">
      <c r="A25" t="s">
        <v>288</v>
      </c>
      <c r="B25" t="s">
        <v>295</v>
      </c>
      <c r="C25" s="5">
        <v>184.47</v>
      </c>
      <c r="D25" s="5">
        <f>B6*77/43</f>
        <v>184.50475459410447</v>
      </c>
      <c r="E25" s="217">
        <f t="shared" si="0"/>
        <v>-3.4754594104470016E-2</v>
      </c>
      <c r="F25" s="14">
        <f t="shared" si="1"/>
        <v>-1.883669295186241E-4</v>
      </c>
      <c r="G25" s="220">
        <f t="shared" si="2"/>
        <v>3.5482100136274299E-8</v>
      </c>
    </row>
    <row r="26" spans="1:7" x14ac:dyDescent="0.5">
      <c r="A26" t="s">
        <v>289</v>
      </c>
      <c r="B26" t="s">
        <v>296</v>
      </c>
      <c r="C26" s="5">
        <v>245.1</v>
      </c>
      <c r="D26" s="5">
        <f>B6*77/16*TAN(B8/180*PI())</f>
        <v>245.09665351288416</v>
      </c>
      <c r="E26" s="217">
        <f t="shared" si="0"/>
        <v>3.3464871158344067E-3</v>
      </c>
      <c r="F26" s="14">
        <f t="shared" si="1"/>
        <v>1.3653744626251907E-5</v>
      </c>
      <c r="G26" s="220">
        <f t="shared" si="2"/>
        <v>1.8642474231890284E-10</v>
      </c>
    </row>
    <row r="27" spans="1:7" x14ac:dyDescent="0.5">
      <c r="A27" s="222" t="s">
        <v>643</v>
      </c>
      <c r="B27" s="222" t="s">
        <v>642</v>
      </c>
      <c r="C27" s="223">
        <f>((30+48/60)+(30+14/60)+(30+33/60)+(30+10/60))/4</f>
        <v>30.4375</v>
      </c>
      <c r="D27" s="213">
        <f>DEGREES(ATAN((D26-D25)/(D23/2)))</f>
        <v>30.458522550327963</v>
      </c>
      <c r="E27" s="214">
        <f t="shared" si="0"/>
        <v>-2.1022550327963074E-2</v>
      </c>
      <c r="F27" s="212">
        <f t="shared" si="1"/>
        <v>-6.9020256295182492E-4</v>
      </c>
      <c r="G27" s="221">
        <f t="shared" si="2"/>
        <v>4.7637957790526782E-7</v>
      </c>
    </row>
    <row r="28" spans="1:7" x14ac:dyDescent="0.5">
      <c r="A28" t="s">
        <v>616</v>
      </c>
      <c r="C28" s="5"/>
      <c r="D28" s="5"/>
      <c r="E28" s="217"/>
      <c r="F28" s="14"/>
      <c r="G28" s="220">
        <f>SUM(G20:G27)^0.5</f>
        <v>1.869428462645365E-3</v>
      </c>
    </row>
    <row r="29" spans="1:7" x14ac:dyDescent="0.5">
      <c r="A29" s="254" t="s">
        <v>650</v>
      </c>
      <c r="B29" s="254" t="s">
        <v>651</v>
      </c>
      <c r="C29" s="254" t="s">
        <v>319</v>
      </c>
      <c r="D29" s="254" t="s">
        <v>652</v>
      </c>
      <c r="E29" s="255" t="s">
        <v>653</v>
      </c>
      <c r="F29" s="254" t="s">
        <v>654</v>
      </c>
      <c r="G29" s="256"/>
    </row>
    <row r="30" spans="1:7" x14ac:dyDescent="0.5">
      <c r="A30" s="471" t="s">
        <v>655</v>
      </c>
      <c r="B30" t="s">
        <v>259</v>
      </c>
      <c r="C30" s="5">
        <v>218</v>
      </c>
      <c r="D30" s="5">
        <f>B11*15</f>
        <v>218.57050187493493</v>
      </c>
      <c r="E30" s="217">
        <f t="shared" ref="E30:E35" si="3">C30-D30</f>
        <v>-0.57050187493493354</v>
      </c>
      <c r="F30" s="472">
        <f t="shared" ref="F30:F35" si="4">C30/D30-1</f>
        <v>-2.6101503635718171E-3</v>
      </c>
      <c r="G30" s="473">
        <f t="shared" ref="G30:G35" si="5">F30^2</f>
        <v>6.8128849204540892E-6</v>
      </c>
    </row>
    <row r="31" spans="1:7" x14ac:dyDescent="0.5">
      <c r="A31" s="471" t="s">
        <v>649</v>
      </c>
      <c r="B31" t="s">
        <v>260</v>
      </c>
      <c r="C31" s="5">
        <v>73</v>
      </c>
      <c r="D31" s="5">
        <f>B11*15/3</f>
        <v>72.85683395831164</v>
      </c>
      <c r="E31" s="217">
        <f t="shared" si="3"/>
        <v>0.14316604168836022</v>
      </c>
      <c r="F31" s="472">
        <f t="shared" si="4"/>
        <v>1.965032432925673E-3</v>
      </c>
      <c r="G31" s="473">
        <f t="shared" si="5"/>
        <v>3.8613524624497895E-6</v>
      </c>
    </row>
    <row r="32" spans="1:7" x14ac:dyDescent="0.5">
      <c r="A32" s="471" t="s">
        <v>656</v>
      </c>
      <c r="B32" t="s">
        <v>261</v>
      </c>
      <c r="C32" s="5">
        <v>55</v>
      </c>
      <c r="D32" s="5">
        <f>B11*15/4</f>
        <v>54.642625468733733</v>
      </c>
      <c r="E32" s="217">
        <f t="shared" si="3"/>
        <v>0.35737453126626662</v>
      </c>
      <c r="F32" s="472">
        <f t="shared" si="4"/>
        <v>6.540215229422941E-3</v>
      </c>
      <c r="G32" s="473">
        <f t="shared" si="5"/>
        <v>4.277441524717577E-5</v>
      </c>
    </row>
    <row r="33" spans="1:11" x14ac:dyDescent="0.5">
      <c r="A33" s="471" t="s">
        <v>657</v>
      </c>
      <c r="B33" t="s">
        <v>262</v>
      </c>
      <c r="C33" s="5">
        <v>346</v>
      </c>
      <c r="D33" s="5">
        <f>SUM(D30:D32)</f>
        <v>346.0699613019803</v>
      </c>
      <c r="E33" s="217">
        <f t="shared" si="3"/>
        <v>-6.9961301980299595E-2</v>
      </c>
      <c r="F33" s="472">
        <f t="shared" si="4"/>
        <v>-2.0215941804679893E-4</v>
      </c>
      <c r="G33" s="473">
        <f t="shared" si="5"/>
        <v>4.0868430305020413E-8</v>
      </c>
    </row>
    <row r="34" spans="1:11" x14ac:dyDescent="0.5">
      <c r="A34" s="471" t="s">
        <v>425</v>
      </c>
      <c r="B34" t="s">
        <v>263</v>
      </c>
      <c r="C34" s="5">
        <v>326</v>
      </c>
      <c r="D34" s="5">
        <f>B11*19*3/2/TAN(B7/180*PI())</f>
        <v>326.16325441632165</v>
      </c>
      <c r="E34" s="217">
        <f t="shared" si="3"/>
        <v>-0.16325441632164939</v>
      </c>
      <c r="F34" s="472">
        <f t="shared" si="4"/>
        <v>-5.0052976266068416E-4</v>
      </c>
      <c r="G34" s="473">
        <f t="shared" si="5"/>
        <v>2.5053004330916084E-7</v>
      </c>
    </row>
    <row r="35" spans="1:11" x14ac:dyDescent="0.5">
      <c r="A35" s="471" t="s">
        <v>264</v>
      </c>
      <c r="B35" t="s">
        <v>265</v>
      </c>
      <c r="C35" s="5">
        <v>553.79999999999995</v>
      </c>
      <c r="D35" s="5">
        <f>B11*19*2</f>
        <v>553.71193808316855</v>
      </c>
      <c r="E35" s="217">
        <f t="shared" si="3"/>
        <v>8.8061916831406961E-2</v>
      </c>
      <c r="F35" s="472">
        <f t="shared" si="4"/>
        <v>1.5903922378179836E-4</v>
      </c>
      <c r="G35" s="473">
        <f t="shared" si="5"/>
        <v>2.5293474701116936E-8</v>
      </c>
    </row>
    <row r="36" spans="1:11" x14ac:dyDescent="0.5">
      <c r="A36" s="471" t="s">
        <v>658</v>
      </c>
      <c r="B36" t="s">
        <v>266</v>
      </c>
      <c r="C36" s="5">
        <v>646</v>
      </c>
      <c r="D36" s="5">
        <f>B11*19*7/3</f>
        <v>645.99726109702999</v>
      </c>
      <c r="E36" s="217">
        <f>C36-D36</f>
        <v>2.738902970008894E-3</v>
      </c>
      <c r="F36" s="472">
        <f>C36/D36-1</f>
        <v>4.2398058550663364E-6</v>
      </c>
      <c r="G36" s="473">
        <f>F36^2</f>
        <v>1.7975953688654787E-11</v>
      </c>
    </row>
    <row r="37" spans="1:11" x14ac:dyDescent="0.5">
      <c r="A37" s="474" t="s">
        <v>505</v>
      </c>
      <c r="B37" s="222" t="s">
        <v>267</v>
      </c>
      <c r="C37" s="213">
        <v>1318</v>
      </c>
      <c r="D37" s="213">
        <f>B11*19*(5/4+3/2/TAN(B7/180*PI())+7/3)</f>
        <v>1318.2304768153319</v>
      </c>
      <c r="E37" s="214">
        <f>C37-D37</f>
        <v>-0.23047681533194009</v>
      </c>
      <c r="F37" s="475">
        <f>C37/D37-1</f>
        <v>-1.7483802672257909E-4</v>
      </c>
      <c r="G37" s="476">
        <f>F37^2</f>
        <v>3.0568335588245281E-8</v>
      </c>
    </row>
    <row r="38" spans="1:11" x14ac:dyDescent="0.5">
      <c r="A38" t="s">
        <v>616</v>
      </c>
      <c r="C38" s="5"/>
      <c r="D38" s="5"/>
      <c r="E38" s="217"/>
      <c r="F38" s="256"/>
      <c r="G38" s="257">
        <f>SUM(G30:G37)^0.5</f>
        <v>7.3345709410937519E-3</v>
      </c>
    </row>
    <row r="39" spans="1:11" x14ac:dyDescent="0.5">
      <c r="A39" s="254" t="s">
        <v>650</v>
      </c>
      <c r="B39" s="254" t="s">
        <v>651</v>
      </c>
      <c r="C39" s="254" t="s">
        <v>319</v>
      </c>
      <c r="D39" s="254" t="s">
        <v>652</v>
      </c>
      <c r="E39" s="255" t="s">
        <v>653</v>
      </c>
      <c r="F39" s="254" t="s">
        <v>654</v>
      </c>
      <c r="G39" s="220"/>
    </row>
    <row r="40" spans="1:11" x14ac:dyDescent="0.5">
      <c r="A40" s="4" t="s">
        <v>641</v>
      </c>
      <c r="B40" s="4" t="s">
        <v>268</v>
      </c>
      <c r="C40" s="85">
        <v>35.75</v>
      </c>
      <c r="D40" s="85">
        <f>$B$11/19*47</f>
        <v>36.044959958322607</v>
      </c>
      <c r="E40" s="477">
        <f>C40-D40</f>
        <v>-0.29495995832260746</v>
      </c>
      <c r="F40" s="478">
        <f>C40/D40-1</f>
        <v>-8.183112386965008E-3</v>
      </c>
      <c r="G40" s="479">
        <f>F40^2</f>
        <v>6.6963328337700157E-5</v>
      </c>
    </row>
    <row r="41" spans="1:11" x14ac:dyDescent="0.5">
      <c r="A41" s="4" t="s">
        <v>640</v>
      </c>
      <c r="B41" s="4" t="s">
        <v>269</v>
      </c>
      <c r="C41" s="85">
        <v>32.455555555555549</v>
      </c>
      <c r="D41" s="85">
        <f>$B$11/19*43</f>
        <v>32.977303791656851</v>
      </c>
      <c r="E41" s="477">
        <f>C41-D41</f>
        <v>-0.52174823610130261</v>
      </c>
      <c r="F41" s="478">
        <f>C41/D41-1</f>
        <v>-1.5821434020124592E-2</v>
      </c>
      <c r="G41" s="479">
        <f>F41^2</f>
        <v>2.503177744531558E-4</v>
      </c>
    </row>
    <row r="42" spans="1:11" x14ac:dyDescent="0.5">
      <c r="A42" s="4" t="s">
        <v>639</v>
      </c>
      <c r="B42" s="4" t="s">
        <v>270</v>
      </c>
      <c r="C42" s="85">
        <v>28.775000000000002</v>
      </c>
      <c r="D42" s="85">
        <f>$B$11/19*37</f>
        <v>28.37581954165822</v>
      </c>
      <c r="E42" s="477">
        <f>C42-D42</f>
        <v>0.39918045834178173</v>
      </c>
      <c r="F42" s="478">
        <f>C42/D42-1</f>
        <v>1.4067627465552013E-2</v>
      </c>
      <c r="G42" s="479">
        <f>F42^2</f>
        <v>1.9789814250955335E-4</v>
      </c>
    </row>
    <row r="43" spans="1:11" x14ac:dyDescent="0.5">
      <c r="A43" s="4" t="s">
        <v>638</v>
      </c>
      <c r="B43" s="4" t="s">
        <v>270</v>
      </c>
      <c r="C43" s="85">
        <v>28.65</v>
      </c>
      <c r="D43" s="85">
        <f>$B$11/19*37</f>
        <v>28.37581954165822</v>
      </c>
      <c r="E43" s="477">
        <f>C43-D43</f>
        <v>0.27418045834177818</v>
      </c>
      <c r="F43" s="478">
        <f>C43/D43-1</f>
        <v>9.6624683540595946E-3</v>
      </c>
      <c r="G43" s="479">
        <f>F43^2</f>
        <v>9.3363294693203129E-5</v>
      </c>
    </row>
    <row r="44" spans="1:11" x14ac:dyDescent="0.5">
      <c r="A44" s="480" t="s">
        <v>775</v>
      </c>
      <c r="B44" s="480" t="s">
        <v>271</v>
      </c>
      <c r="C44" s="251">
        <v>31.25</v>
      </c>
      <c r="D44" s="251">
        <f>$B$11/19*41</f>
        <v>31.443475708323973</v>
      </c>
      <c r="E44" s="481">
        <f>C44-D44</f>
        <v>-0.19347570832397309</v>
      </c>
      <c r="F44" s="482">
        <f>C44/D44-1</f>
        <v>-6.1531272852496377E-3</v>
      </c>
      <c r="G44" s="483">
        <f>F44^2</f>
        <v>3.7860975388483578E-5</v>
      </c>
    </row>
    <row r="45" spans="1:11" x14ac:dyDescent="0.5">
      <c r="A45" t="s">
        <v>616</v>
      </c>
      <c r="D45" s="5"/>
      <c r="E45" s="217"/>
      <c r="F45" s="14"/>
      <c r="G45" s="211">
        <f>SUM(G30:G44)^0.5</f>
        <v>8.9636880732016699E-2</v>
      </c>
    </row>
    <row r="46" spans="1:11" ht="15.7" thickBot="1" x14ac:dyDescent="0.55000000000000004">
      <c r="D46" s="5"/>
      <c r="E46" s="217"/>
      <c r="F46" s="14"/>
      <c r="G46" s="211"/>
    </row>
    <row r="47" spans="1:11" x14ac:dyDescent="0.5">
      <c r="A47" s="442" t="s">
        <v>771</v>
      </c>
      <c r="B47" s="444"/>
      <c r="C47" s="435"/>
      <c r="D47" s="444">
        <v>365.25</v>
      </c>
      <c r="E47" s="433"/>
      <c r="F47" s="434"/>
      <c r="G47" s="464"/>
      <c r="H47" s="444">
        <v>365.24220000000003</v>
      </c>
      <c r="I47" s="432"/>
      <c r="J47" s="432"/>
      <c r="K47" s="435"/>
    </row>
    <row r="48" spans="1:11" ht="15.7" thickBot="1" x14ac:dyDescent="0.55000000000000004">
      <c r="A48" s="443" t="s">
        <v>772</v>
      </c>
      <c r="B48" s="465"/>
      <c r="C48" s="438"/>
      <c r="D48" s="465">
        <f>D47/10/PI()^0.5</f>
        <v>20.607024539081799</v>
      </c>
      <c r="E48" s="436"/>
      <c r="F48" s="437"/>
      <c r="G48" s="466"/>
      <c r="H48" s="145">
        <f>0.523963/0.0254</f>
        <v>20.628464566929132</v>
      </c>
      <c r="I48" s="97"/>
      <c r="J48" s="97"/>
      <c r="K48" s="438"/>
    </row>
    <row r="49" spans="1:14" ht="30.35" thickBot="1" x14ac:dyDescent="0.55000000000000004">
      <c r="A49" s="215"/>
      <c r="B49" s="469" t="s">
        <v>257</v>
      </c>
      <c r="C49" s="467" t="s">
        <v>359</v>
      </c>
      <c r="D49" s="468" t="s">
        <v>358</v>
      </c>
      <c r="E49" s="470" t="s">
        <v>360</v>
      </c>
      <c r="F49" s="470" t="s">
        <v>282</v>
      </c>
      <c r="G49" s="470" t="s">
        <v>773</v>
      </c>
      <c r="H49" s="440" t="s">
        <v>637</v>
      </c>
      <c r="I49" s="441" t="s">
        <v>636</v>
      </c>
      <c r="J49" s="441" t="s">
        <v>282</v>
      </c>
      <c r="K49" s="439" t="s">
        <v>774</v>
      </c>
    </row>
    <row r="50" spans="1:14" x14ac:dyDescent="0.5">
      <c r="A50" s="461" t="s">
        <v>355</v>
      </c>
      <c r="B50" s="444" t="s">
        <v>635</v>
      </c>
      <c r="C50" s="457">
        <v>287</v>
      </c>
      <c r="D50" s="454">
        <f>D47/TAN(B7/180*PI())</f>
        <v>286.86667918091803</v>
      </c>
      <c r="E50" s="433">
        <f>C50-D50</f>
        <v>0.13332081908197324</v>
      </c>
      <c r="F50" s="434">
        <f>C50/D50-1</f>
        <v>4.6474836137333497E-4</v>
      </c>
      <c r="G50" s="455">
        <f>F50^2</f>
        <v>2.1599103939919996E-7</v>
      </c>
      <c r="H50" s="446">
        <f>H47/TAN(B7/180*PI())</f>
        <v>286.86055307524356</v>
      </c>
      <c r="I50" s="219">
        <f>C50-H50</f>
        <v>0.1394469247564416</v>
      </c>
      <c r="J50" s="218">
        <f>C50/H50-1</f>
        <v>4.8611397859166239E-4</v>
      </c>
      <c r="K50" s="447">
        <f>J50^2</f>
        <v>2.363068001822152E-7</v>
      </c>
    </row>
    <row r="51" spans="1:14" x14ac:dyDescent="0.5">
      <c r="A51" s="462"/>
      <c r="B51" s="445"/>
      <c r="C51" s="458"/>
      <c r="D51" s="448"/>
      <c r="E51" s="456"/>
      <c r="F51" s="216"/>
      <c r="G51" s="449"/>
      <c r="H51" s="448"/>
      <c r="J51" s="216"/>
      <c r="K51" s="449"/>
    </row>
    <row r="52" spans="1:14" x14ac:dyDescent="0.5">
      <c r="A52" s="462" t="s">
        <v>634</v>
      </c>
      <c r="B52" s="445" t="s">
        <v>633</v>
      </c>
      <c r="C52" s="459">
        <v>61.32</v>
      </c>
      <c r="D52" s="450">
        <f>D48*3</f>
        <v>61.821073617245396</v>
      </c>
      <c r="E52" s="217">
        <f t="shared" ref="E52:E61" si="6">C52-D52</f>
        <v>-0.50107361724539601</v>
      </c>
      <c r="F52" s="216">
        <f t="shared" ref="F52:F61" si="7">C52/D52-1</f>
        <v>-8.1052234768310694E-3</v>
      </c>
      <c r="G52" s="449">
        <f t="shared" ref="G52:G61" si="8">F52^2</f>
        <v>6.5694647609373529E-5</v>
      </c>
      <c r="H52" s="450">
        <f>H48*3</f>
        <v>61.885393700787397</v>
      </c>
      <c r="I52" s="5">
        <f t="shared" ref="I52:I61" si="9">C52-H52</f>
        <v>-0.56539370078739637</v>
      </c>
      <c r="J52" s="216">
        <f t="shared" ref="J52:J61" si="10">C52/H52-1</f>
        <v>-9.136141292419464E-3</v>
      </c>
      <c r="K52" s="449">
        <f t="shared" ref="K52:K61" si="11">J52^2</f>
        <v>8.3469077715052001E-5</v>
      </c>
    </row>
    <row r="53" spans="1:14" x14ac:dyDescent="0.5">
      <c r="A53" s="462" t="s">
        <v>290</v>
      </c>
      <c r="B53" s="445" t="s">
        <v>632</v>
      </c>
      <c r="C53" s="459">
        <v>52.02</v>
      </c>
      <c r="D53" s="450">
        <f>D47/7</f>
        <v>52.178571428571431</v>
      </c>
      <c r="E53" s="217">
        <f t="shared" si="6"/>
        <v>-0.15857142857142748</v>
      </c>
      <c r="F53" s="216">
        <f t="shared" si="7"/>
        <v>-3.0390143737165642E-3</v>
      </c>
      <c r="G53" s="449">
        <f t="shared" si="8"/>
        <v>9.2356083636558814E-6</v>
      </c>
      <c r="H53" s="450">
        <f>H47/7</f>
        <v>52.177457142857143</v>
      </c>
      <c r="I53" s="5">
        <f t="shared" si="9"/>
        <v>-0.1574571428571403</v>
      </c>
      <c r="J53" s="216">
        <f t="shared" si="10"/>
        <v>-3.0177235817766546E-3</v>
      </c>
      <c r="K53" s="449">
        <f t="shared" si="11"/>
        <v>9.1066556160109203E-6</v>
      </c>
    </row>
    <row r="54" spans="1:14" x14ac:dyDescent="0.5">
      <c r="A54" s="462" t="s">
        <v>291</v>
      </c>
      <c r="B54" s="445" t="s">
        <v>631</v>
      </c>
      <c r="C54" s="459">
        <v>116.3</v>
      </c>
      <c r="D54" s="450">
        <f>D47/PI()</f>
        <v>116.26268592862955</v>
      </c>
      <c r="E54" s="217">
        <f t="shared" si="6"/>
        <v>3.7314071370445845E-2</v>
      </c>
      <c r="F54" s="216">
        <f t="shared" si="7"/>
        <v>3.2094623543588163E-4</v>
      </c>
      <c r="G54" s="449">
        <f t="shared" si="8"/>
        <v>1.0300648604046436E-7</v>
      </c>
      <c r="H54" s="450">
        <f>H47/PI()</f>
        <v>116.26020311151733</v>
      </c>
      <c r="I54" s="5">
        <f t="shared" si="9"/>
        <v>3.9796888482669601E-2</v>
      </c>
      <c r="J54" s="216">
        <f t="shared" si="10"/>
        <v>3.4230878166008338E-4</v>
      </c>
      <c r="K54" s="449">
        <f t="shared" si="11"/>
        <v>1.1717530200161063E-7</v>
      </c>
    </row>
    <row r="55" spans="1:14" x14ac:dyDescent="0.5">
      <c r="A55" s="462" t="s">
        <v>629</v>
      </c>
      <c r="B55" s="445" t="s">
        <v>628</v>
      </c>
      <c r="C55" s="459">
        <f>AVERAGE(103.2,AVERAGE(102.3,103.36))</f>
        <v>103.015</v>
      </c>
      <c r="D55" s="450">
        <f>D48*5</f>
        <v>103.035122695409</v>
      </c>
      <c r="E55" s="217">
        <f t="shared" si="6"/>
        <v>-2.0122695409000357E-2</v>
      </c>
      <c r="F55" s="216">
        <f t="shared" si="7"/>
        <v>-1.9529937833417943E-4</v>
      </c>
      <c r="G55" s="449">
        <f t="shared" si="8"/>
        <v>3.8141847177716955E-8</v>
      </c>
      <c r="H55" s="450">
        <f>H48*5</f>
        <v>103.14232283464565</v>
      </c>
      <c r="I55" s="5">
        <f t="shared" si="9"/>
        <v>-0.12732283464565342</v>
      </c>
      <c r="J55" s="216">
        <f t="shared" si="10"/>
        <v>-1.2344383095751477E-3</v>
      </c>
      <c r="K55" s="449">
        <f t="shared" si="11"/>
        <v>1.5238379401467482E-6</v>
      </c>
    </row>
    <row r="56" spans="1:14" x14ac:dyDescent="0.5">
      <c r="A56" s="462" t="s">
        <v>292</v>
      </c>
      <c r="B56" s="445" t="s">
        <v>627</v>
      </c>
      <c r="C56" s="459">
        <v>100.8</v>
      </c>
      <c r="D56" s="450">
        <f>D47*(1-1/PI()^0.5-1/2/PI())</f>
        <v>101.04841164486723</v>
      </c>
      <c r="E56" s="217">
        <f t="shared" si="6"/>
        <v>-0.24841164486723244</v>
      </c>
      <c r="F56" s="216">
        <f t="shared" si="7"/>
        <v>-2.4583428954852993E-3</v>
      </c>
      <c r="G56" s="449">
        <f t="shared" si="8"/>
        <v>6.043449791783045E-6</v>
      </c>
      <c r="H56" s="450">
        <f>H47*(1-1/PI()^0.5-1/2/PI())</f>
        <v>101.04625373217503</v>
      </c>
      <c r="I56" s="5">
        <f t="shared" si="9"/>
        <v>-0.24625373217503466</v>
      </c>
      <c r="J56" s="216">
        <f t="shared" si="10"/>
        <v>-2.437039702904098E-3</v>
      </c>
      <c r="K56" s="449">
        <f t="shared" si="11"/>
        <v>5.9391625135308945E-6</v>
      </c>
    </row>
    <row r="57" spans="1:14" x14ac:dyDescent="0.5">
      <c r="A57" s="462" t="s">
        <v>272</v>
      </c>
      <c r="B57" s="445" t="s">
        <v>626</v>
      </c>
      <c r="C57" s="459">
        <v>41.53</v>
      </c>
      <c r="D57" s="450">
        <f>D48*12/6</f>
        <v>41.214049078163598</v>
      </c>
      <c r="E57" s="217">
        <f t="shared" si="6"/>
        <v>0.31595092183640361</v>
      </c>
      <c r="F57" s="216">
        <f t="shared" si="7"/>
        <v>7.6660975784541563E-3</v>
      </c>
      <c r="G57" s="449">
        <f t="shared" si="8"/>
        <v>5.8769052082380678E-5</v>
      </c>
      <c r="H57" s="450">
        <f>H48*12/6</f>
        <v>41.256929133858264</v>
      </c>
      <c r="I57" s="5">
        <f t="shared" si="9"/>
        <v>0.2730708661417367</v>
      </c>
      <c r="J57" s="216">
        <f t="shared" si="10"/>
        <v>6.6187879678527572E-3</v>
      </c>
      <c r="K57" s="449">
        <f t="shared" si="11"/>
        <v>4.3808354163392432E-5</v>
      </c>
      <c r="N57" t="s">
        <v>630</v>
      </c>
    </row>
    <row r="58" spans="1:14" x14ac:dyDescent="0.5">
      <c r="A58" s="462" t="s">
        <v>273</v>
      </c>
      <c r="B58" s="445" t="s">
        <v>625</v>
      </c>
      <c r="C58" s="459">
        <v>48</v>
      </c>
      <c r="D58" s="450">
        <f>D48*14/6</f>
        <v>48.083057257857526</v>
      </c>
      <c r="E58" s="217">
        <f t="shared" si="6"/>
        <v>-8.3057257857525713E-2</v>
      </c>
      <c r="F58" s="216">
        <f t="shared" si="7"/>
        <v>-1.7273705665616923E-3</v>
      </c>
      <c r="G58" s="449">
        <f t="shared" si="8"/>
        <v>2.9838090742236618E-6</v>
      </c>
      <c r="H58" s="450">
        <f>H48*14/6</f>
        <v>48.133083989501309</v>
      </c>
      <c r="I58" s="5">
        <f t="shared" si="9"/>
        <v>-0.13308398950130851</v>
      </c>
      <c r="J58" s="216">
        <f t="shared" si="10"/>
        <v>-2.7649171520016669E-3</v>
      </c>
      <c r="K58" s="449">
        <f t="shared" si="11"/>
        <v>7.6447668574330079E-6</v>
      </c>
    </row>
    <row r="59" spans="1:14" x14ac:dyDescent="0.5">
      <c r="A59" s="462" t="s">
        <v>274</v>
      </c>
      <c r="B59" s="445" t="s">
        <v>624</v>
      </c>
      <c r="C59" s="459">
        <v>65.2</v>
      </c>
      <c r="D59" s="450">
        <f>D48*19/6</f>
        <v>65.255577707092371</v>
      </c>
      <c r="E59" s="217">
        <f t="shared" si="6"/>
        <v>-5.55777070923682E-2</v>
      </c>
      <c r="F59" s="216">
        <f t="shared" si="7"/>
        <v>-8.5169282144481606E-4</v>
      </c>
      <c r="G59" s="449">
        <f t="shared" si="8"/>
        <v>7.2538066210063135E-7</v>
      </c>
      <c r="H59" s="450">
        <f>H48*19/6</f>
        <v>65.323471128608915</v>
      </c>
      <c r="I59" s="5">
        <f t="shared" si="9"/>
        <v>-0.1234711286089123</v>
      </c>
      <c r="J59" s="216">
        <f t="shared" si="10"/>
        <v>-1.8901495354681774E-3</v>
      </c>
      <c r="K59" s="449">
        <f t="shared" si="11"/>
        <v>3.5726652664305669E-6</v>
      </c>
    </row>
    <row r="60" spans="1:14" x14ac:dyDescent="0.5">
      <c r="A60" s="462" t="s">
        <v>275</v>
      </c>
      <c r="B60" s="445" t="s">
        <v>623</v>
      </c>
      <c r="C60" s="459">
        <v>149.35</v>
      </c>
      <c r="D60" s="450">
        <f>D47/PI()*9/7</f>
        <v>149.48059619395229</v>
      </c>
      <c r="E60" s="217">
        <f t="shared" si="6"/>
        <v>-0.13059619395230015</v>
      </c>
      <c r="F60" s="216">
        <f t="shared" si="7"/>
        <v>-8.7366653115872328E-4</v>
      </c>
      <c r="G60" s="449">
        <f t="shared" si="8"/>
        <v>7.6329320766691636E-7</v>
      </c>
      <c r="H60" s="450">
        <f>H47/PI()*9/7</f>
        <v>149.47740400052228</v>
      </c>
      <c r="I60" s="5">
        <f t="shared" si="9"/>
        <v>-0.12740400052229006</v>
      </c>
      <c r="J60" s="216">
        <f t="shared" si="10"/>
        <v>-8.5232949671676383E-4</v>
      </c>
      <c r="K60" s="449">
        <f t="shared" si="11"/>
        <v>7.2646557097345197E-7</v>
      </c>
    </row>
    <row r="61" spans="1:14" x14ac:dyDescent="0.5">
      <c r="A61" s="462" t="s">
        <v>276</v>
      </c>
      <c r="B61" s="445" t="s">
        <v>622</v>
      </c>
      <c r="C61" s="459">
        <v>152.85</v>
      </c>
      <c r="D61" s="450">
        <f>D47/PI()*9/7+B9/6</f>
        <v>152.91510028379926</v>
      </c>
      <c r="E61" s="217">
        <f t="shared" si="6"/>
        <v>-6.51002837992678E-2</v>
      </c>
      <c r="F61" s="216">
        <f t="shared" si="7"/>
        <v>-4.2572828764753101E-4</v>
      </c>
      <c r="G61" s="449">
        <f t="shared" si="8"/>
        <v>1.8124457490329891E-7</v>
      </c>
      <c r="H61" s="450">
        <f>H47/PI()*9/7+H48/6</f>
        <v>152.91548142834381</v>
      </c>
      <c r="I61" s="5">
        <f t="shared" si="9"/>
        <v>-6.5481428343815651E-2</v>
      </c>
      <c r="J61" s="216">
        <f t="shared" si="10"/>
        <v>-4.2821974421536346E-4</v>
      </c>
      <c r="K61" s="449">
        <f t="shared" si="11"/>
        <v>1.8337214933587132E-7</v>
      </c>
    </row>
    <row r="62" spans="1:14" x14ac:dyDescent="0.5">
      <c r="A62" s="462"/>
      <c r="B62" s="445"/>
      <c r="C62" s="458"/>
      <c r="D62" s="448"/>
      <c r="E62" s="456"/>
      <c r="F62" s="216" t="s">
        <v>630</v>
      </c>
      <c r="G62" s="449"/>
      <c r="H62" s="448"/>
      <c r="I62" s="5"/>
      <c r="J62" s="216"/>
      <c r="K62" s="449"/>
    </row>
    <row r="63" spans="1:14" x14ac:dyDescent="0.5">
      <c r="A63" s="462" t="s">
        <v>277</v>
      </c>
      <c r="B63" s="445" t="s">
        <v>647</v>
      </c>
      <c r="C63" s="459">
        <f>(206.3+206.04)/2</f>
        <v>206.17000000000002</v>
      </c>
      <c r="D63" s="450">
        <f>D48*10</f>
        <v>206.070245390818</v>
      </c>
      <c r="E63" s="217">
        <f t="shared" ref="E63:E68" si="12">C63-D63</f>
        <v>9.9754609182014065E-2</v>
      </c>
      <c r="F63" s="216">
        <f t="shared" ref="F63:F68" si="13">C63/D63-1</f>
        <v>4.8408060558591259E-4</v>
      </c>
      <c r="G63" s="449">
        <f t="shared" ref="G63:G68" si="14">F63^2</f>
        <v>2.3433403270442388E-7</v>
      </c>
      <c r="H63" s="450">
        <f>H48*10</f>
        <v>206.28464566929131</v>
      </c>
      <c r="I63" s="5">
        <f t="shared" ref="I63:I68" si="15">C63-H63</f>
        <v>-0.11464566929129205</v>
      </c>
      <c r="J63" s="216">
        <f t="shared" ref="J63:J68" si="16">C63/H63-1</f>
        <v>-5.557644337479406E-4</v>
      </c>
      <c r="K63" s="449">
        <f t="shared" ref="K63:K68" si="17">J63^2</f>
        <v>3.0887410581916906E-7</v>
      </c>
    </row>
    <row r="64" spans="1:14" x14ac:dyDescent="0.5">
      <c r="A64" s="462" t="s">
        <v>278</v>
      </c>
      <c r="B64" s="445" t="s">
        <v>646</v>
      </c>
      <c r="C64" s="459">
        <f>(412.14+411.88)/2</f>
        <v>412.01</v>
      </c>
      <c r="D64" s="450">
        <f>D48*20</f>
        <v>412.140490781636</v>
      </c>
      <c r="E64" s="217">
        <f t="shared" si="12"/>
        <v>-0.1304907816360128</v>
      </c>
      <c r="F64" s="216">
        <f t="shared" si="13"/>
        <v>-3.1661723260567598E-4</v>
      </c>
      <c r="G64" s="449">
        <f t="shared" si="14"/>
        <v>1.0024647198287673E-7</v>
      </c>
      <c r="H64" s="450">
        <f>H48*20</f>
        <v>412.56929133858262</v>
      </c>
      <c r="I64" s="5">
        <f t="shared" si="15"/>
        <v>-0.55929133858262503</v>
      </c>
      <c r="J64" s="216">
        <f t="shared" si="16"/>
        <v>-1.3556300731156767E-3</v>
      </c>
      <c r="K64" s="449">
        <f t="shared" si="17"/>
        <v>1.8377328951356151E-6</v>
      </c>
    </row>
    <row r="65" spans="1:13" x14ac:dyDescent="0.5">
      <c r="A65" s="462" t="s">
        <v>279</v>
      </c>
      <c r="B65" s="445" t="s">
        <v>621</v>
      </c>
      <c r="C65" s="459">
        <v>235.2</v>
      </c>
      <c r="D65" s="450">
        <f>D47/PI()/TAN(B8/180*PI())</f>
        <v>235.21174586008303</v>
      </c>
      <c r="E65" s="217">
        <f t="shared" si="12"/>
        <v>-1.1745860083038906E-2</v>
      </c>
      <c r="F65" s="216">
        <f t="shared" si="13"/>
        <v>-4.9937387438192538E-5</v>
      </c>
      <c r="G65" s="449">
        <f t="shared" si="14"/>
        <v>2.4937426641521497E-9</v>
      </c>
      <c r="H65" s="450">
        <f>H47/PI()/TAN(B8/180*PI())</f>
        <v>235.20672285770738</v>
      </c>
      <c r="I65" s="5">
        <f t="shared" si="15"/>
        <v>-6.722857707387675E-3</v>
      </c>
      <c r="J65" s="216">
        <f t="shared" si="16"/>
        <v>-2.8582761690265635E-5</v>
      </c>
      <c r="K65" s="449">
        <f t="shared" si="17"/>
        <v>8.1697426584251675E-10</v>
      </c>
    </row>
    <row r="66" spans="1:13" x14ac:dyDescent="0.5">
      <c r="A66" s="462" t="s">
        <v>280</v>
      </c>
      <c r="B66" s="445" t="s">
        <v>620</v>
      </c>
      <c r="C66" s="459">
        <v>230.09</v>
      </c>
      <c r="D66" s="450">
        <f>D47/PI()/TAN(B8/180*PI())-B9/4</f>
        <v>230.05998972531259</v>
      </c>
      <c r="E66" s="217">
        <f t="shared" si="12"/>
        <v>3.001027468741313E-2</v>
      </c>
      <c r="F66" s="216">
        <f t="shared" si="13"/>
        <v>1.3044543174700607E-4</v>
      </c>
      <c r="G66" s="449">
        <f t="shared" si="14"/>
        <v>1.7016010663662819E-8</v>
      </c>
      <c r="H66" s="450">
        <f>H47/PI()/TAN(B8/180*PI())-H48/4</f>
        <v>230.0496067159751</v>
      </c>
      <c r="I66" s="5">
        <f t="shared" si="15"/>
        <v>4.0393284024901277E-2</v>
      </c>
      <c r="J66" s="216">
        <f t="shared" si="16"/>
        <v>1.7558510358495205E-4</v>
      </c>
      <c r="K66" s="449">
        <f t="shared" si="17"/>
        <v>3.0830128600938344E-8</v>
      </c>
    </row>
    <row r="67" spans="1:13" x14ac:dyDescent="0.5">
      <c r="A67" s="462" t="s">
        <v>281</v>
      </c>
      <c r="B67" s="445" t="s">
        <v>619</v>
      </c>
      <c r="C67" s="459">
        <v>47.04</v>
      </c>
      <c r="D67" s="450">
        <f>D47/PI()/TAN(B8/180*PI())/5</f>
        <v>47.042349172016607</v>
      </c>
      <c r="E67" s="217">
        <f t="shared" si="12"/>
        <v>-2.3491720166077812E-3</v>
      </c>
      <c r="F67" s="216">
        <f t="shared" si="13"/>
        <v>-4.9937387438192538E-5</v>
      </c>
      <c r="G67" s="449">
        <f t="shared" si="14"/>
        <v>2.4937426641521497E-9</v>
      </c>
      <c r="H67" s="450">
        <f>H47/PI()/TAN(B8/180*PI())/5</f>
        <v>47.041344571541472</v>
      </c>
      <c r="I67" s="5">
        <f t="shared" si="15"/>
        <v>-1.3445715414732717E-3</v>
      </c>
      <c r="J67" s="216">
        <f t="shared" si="16"/>
        <v>-2.8582761690154612E-5</v>
      </c>
      <c r="K67" s="449">
        <f t="shared" si="17"/>
        <v>8.169742658361701E-10</v>
      </c>
    </row>
    <row r="68" spans="1:13" ht="15.7" thickBot="1" x14ac:dyDescent="0.55000000000000004">
      <c r="A68" s="462" t="s">
        <v>618</v>
      </c>
      <c r="B68" s="445" t="s">
        <v>617</v>
      </c>
      <c r="C68" s="459">
        <f>AVERAGE(33.6+33.7+33+34+33.8)/5*7</f>
        <v>235.34000000000003</v>
      </c>
      <c r="D68" s="450">
        <f>D47/PI()/TAN(B8/180*PI())</f>
        <v>235.21174586008303</v>
      </c>
      <c r="E68" s="217">
        <f t="shared" si="12"/>
        <v>0.1282541399170043</v>
      </c>
      <c r="F68" s="216">
        <f t="shared" si="13"/>
        <v>5.4527098316459188E-4</v>
      </c>
      <c r="G68" s="449">
        <f t="shared" si="14"/>
        <v>2.9732044508128064E-7</v>
      </c>
      <c r="H68" s="450">
        <f>H47/PI()/TAN(B8/180*PI())</f>
        <v>235.20672285770738</v>
      </c>
      <c r="I68" s="5">
        <f t="shared" si="15"/>
        <v>0.13327714229265553</v>
      </c>
      <c r="J68" s="216">
        <f t="shared" si="16"/>
        <v>5.6663831999936853E-4</v>
      </c>
      <c r="K68" s="449">
        <f t="shared" si="17"/>
        <v>3.2107898569170678E-7</v>
      </c>
    </row>
    <row r="69" spans="1:13" ht="15.7" thickBot="1" x14ac:dyDescent="0.55000000000000004">
      <c r="A69" s="463" t="s">
        <v>616</v>
      </c>
      <c r="B69" s="452"/>
      <c r="C69" s="460"/>
      <c r="D69" s="452"/>
      <c r="E69" s="451"/>
      <c r="F69" s="451"/>
      <c r="G69" s="453">
        <f>SUM(G50:G68)</f>
        <v>1.4540752918446563E-4</v>
      </c>
      <c r="H69" s="452"/>
      <c r="I69" s="451"/>
      <c r="J69" s="451"/>
      <c r="K69" s="453">
        <f>SUM(K50:K68)</f>
        <v>1.5882798995826882E-4</v>
      </c>
    </row>
    <row r="70" spans="1:13" x14ac:dyDescent="0.5">
      <c r="G70" s="211"/>
      <c r="K70" s="211"/>
    </row>
    <row r="72" spans="1:13" x14ac:dyDescent="0.5">
      <c r="M72" s="211"/>
    </row>
    <row r="74" spans="1:13" x14ac:dyDescent="0.5">
      <c r="F74" t="s">
        <v>615</v>
      </c>
    </row>
  </sheetData>
  <conditionalFormatting sqref="E20:E28 E30:E38 E40:E68">
    <cfRule type="expression" dxfId="2" priority="2">
      <formula>OR(E20&gt;0.3,E20&lt;-0.3)</formula>
    </cfRule>
  </conditionalFormatting>
  <conditionalFormatting sqref="E69">
    <cfRule type="expression" dxfId="1" priority="3">
      <formula>"or(&gt;0.3,&lt;-0.3)"</formula>
    </cfRule>
  </conditionalFormatting>
  <conditionalFormatting sqref="I50:I68">
    <cfRule type="expression" dxfId="0" priority="1">
      <formula>OR(I50&gt;0.3,I50&lt;-0.3)</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Petrie &amp; Dash Plateau Survey</vt:lpstr>
      <vt:lpstr>Plateau Coords</vt:lpstr>
      <vt:lpstr>Dash GP Base Regression</vt:lpstr>
      <vt:lpstr>Rev Eng Equations Int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Cooper</dc:creator>
  <cp:lastModifiedBy>Michael Cooper</cp:lastModifiedBy>
  <dcterms:created xsi:type="dcterms:W3CDTF">2024-06-30T20:36:23Z</dcterms:created>
  <dcterms:modified xsi:type="dcterms:W3CDTF">2026-09-07T06:15:29Z</dcterms:modified>
</cp:coreProperties>
</file>